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omments/comment1.xml" ContentType="application/vnd.openxmlformats-officedocument.spreadsheetml.comments+xml"/>
  <Override PartName="/xl/worksheets/sheet3.xml" ContentType="application/vnd.openxmlformats-officedocument.spreadsheetml.worksheet+xml"/>
  <Override PartName="/xl/comments/comment2.xml" ContentType="application/vnd.openxmlformats-officedocument.spreadsheetml.comments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omments/comment3.xml" ContentType="application/vnd.openxmlformats-officedocument.spreadsheetml.comments+xml"/>
  <Override PartName="/xl/worksheets/sheet10.xml" ContentType="application/vnd.openxmlformats-officedocument.spreadsheetml.worksheet+xml"/>
  <Override PartName="/xl/comments/comment4.xml" ContentType="application/vnd.openxmlformats-officedocument.spreadsheetml.comments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comments/comment5.xml" ContentType="application/vnd.openxmlformats-officedocument.spreadsheetml.comments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Cover" sheetId="1" state="visible" r:id="rId1"/>
    <sheet xmlns:r="http://schemas.openxmlformats.org/officeDocument/2006/relationships" name="Summary" sheetId="2" state="visible" r:id="rId2"/>
    <sheet xmlns:r="http://schemas.openxmlformats.org/officeDocument/2006/relationships" name="Assumptions" sheetId="3" state="visible" r:id="rId3"/>
    <sheet xmlns:r="http://schemas.openxmlformats.org/officeDocument/2006/relationships" name="Planning &amp; Approvals" sheetId="4" state="visible" r:id="rId4"/>
    <sheet xmlns:r="http://schemas.openxmlformats.org/officeDocument/2006/relationships" name="Hard_Costs" sheetId="5" state="visible" r:id="rId5"/>
    <sheet xmlns:r="http://schemas.openxmlformats.org/officeDocument/2006/relationships" name="Soft_Costs" sheetId="6" state="visible" r:id="rId6"/>
    <sheet xmlns:r="http://schemas.openxmlformats.org/officeDocument/2006/relationships" name="Land_DevCharges" sheetId="7" state="visible" r:id="rId7"/>
    <sheet xmlns:r="http://schemas.openxmlformats.org/officeDocument/2006/relationships" name="Contingencies" sheetId="8" state="visible" r:id="rId8"/>
    <sheet xmlns:r="http://schemas.openxmlformats.org/officeDocument/2006/relationships" name="Financing" sheetId="9" state="visible" r:id="rId9"/>
    <sheet xmlns:r="http://schemas.openxmlformats.org/officeDocument/2006/relationships" name="HST_Analysis" sheetId="10" state="visible" r:id="rId10"/>
    <sheet xmlns:r="http://schemas.openxmlformats.org/officeDocument/2006/relationships" name="Operating Pro-Forma" sheetId="11" state="visible" r:id="rId11"/>
    <sheet xmlns:r="http://schemas.openxmlformats.org/officeDocument/2006/relationships" name="CMHC Financing &amp; Value" sheetId="12" state="visible" r:id="rId12"/>
    <sheet xmlns:r="http://schemas.openxmlformats.org/officeDocument/2006/relationships" name="Risk_Register" sheetId="13" state="visible" r:id="rId13"/>
    <sheet xmlns:r="http://schemas.openxmlformats.org/officeDocument/2006/relationships" name="Sources_Method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8">
    <numFmt numFmtId="164" formatCode="_-\$* #,##0_-;[RED]\(_-\$* #,##0_-\);_-\$* \-_-;_-@"/>
    <numFmt numFmtId="165" formatCode="0.0%;\(0.0%\);\-"/>
    <numFmt numFmtId="166" formatCode="#,##0;\(#,##0\);\-"/>
    <numFmt numFmtId="167" formatCode="$#,##0;($#,##0)"/>
    <numFmt numFmtId="168" formatCode="0.0%"/>
    <numFmt numFmtId="169" formatCode="0.00&quot;x&quot;"/>
    <numFmt numFmtId="170" formatCode="$#,##0.00;($#,##0.00)"/>
    <numFmt numFmtId="171" formatCode="#,##0&quot; SF&quot;"/>
  </numFmts>
  <fonts count="33">
    <font>
      <name val="Calibri"/>
      <color theme="1"/>
      <sz val="11"/>
      <scheme val="minor"/>
    </font>
    <font>
      <name val="Arial"/>
      <b val="1"/>
      <color rgb="FFFFFFFF"/>
      <sz val="14"/>
    </font>
    <font/>
    <font>
      <name val="Arial"/>
      <b val="1"/>
      <color rgb="FFFFFFFF"/>
      <sz val="12"/>
    </font>
    <font>
      <name val="Arial"/>
      <i val="1"/>
      <color rgb="FF595959"/>
      <sz val="9"/>
    </font>
    <font>
      <name val="Arial"/>
      <b val="1"/>
      <color rgb="FF000000"/>
      <sz val="11"/>
    </font>
    <font>
      <name val="Arial"/>
      <color theme="1"/>
      <sz val="11"/>
    </font>
    <font>
      <name val="Arial"/>
      <b val="1"/>
      <color rgb="FFFFFFFF"/>
      <sz val="11"/>
    </font>
    <font>
      <name val="Arial"/>
      <color rgb="FF008000"/>
      <sz val="11"/>
    </font>
    <font>
      <name val="Arial"/>
      <color rgb="FF000000"/>
      <sz val="11"/>
    </font>
    <font>
      <name val="Arial"/>
      <color rgb="FF0000FF"/>
      <sz val="11"/>
    </font>
    <font>
      <name val="Arial"/>
      <b val="1"/>
      <color rgb="FF0000FF"/>
      <sz val="11"/>
    </font>
    <font>
      <name val="Lato"/>
      <color rgb="003D3D3D"/>
      <sz val="11"/>
    </font>
    <font>
      <name val="Montserrat"/>
      <b val="1"/>
      <color rgb="00FFFFFF"/>
      <sz val="14"/>
    </font>
    <font>
      <name val="Montserrat"/>
      <b val="1"/>
      <color rgb="00FFFFFF"/>
      <sz val="12"/>
    </font>
    <font>
      <name val="Lato"/>
      <i val="1"/>
      <color rgb="003D3D3D"/>
      <sz val="9"/>
    </font>
    <font>
      <name val="Montserrat"/>
      <b val="1"/>
      <color rgb="003D3D3D"/>
      <sz val="11"/>
    </font>
    <font>
      <name val="Montserrat"/>
      <b val="1"/>
      <color rgb="00FFFFFF"/>
      <sz val="11"/>
    </font>
    <font>
      <name val="Montserrat"/>
      <color rgb="008C8C8C"/>
      <sz val="9.5"/>
    </font>
    <font>
      <name val="Montserrat"/>
      <color rgb="003D3D3D"/>
      <sz val="20"/>
    </font>
    <font>
      <name val="Montserrat"/>
      <color rgb="003D3D3D"/>
      <sz val="13"/>
    </font>
    <font>
      <name val="Lato"/>
      <i val="1"/>
      <color rgb="008C8C8C"/>
      <sz val="11"/>
    </font>
    <font>
      <name val="Lato"/>
      <color rgb="003D3D3D"/>
      <sz val="10"/>
    </font>
    <font>
      <name val="Montserrat"/>
      <color rgb="00FFFFFF"/>
      <sz val="11"/>
    </font>
    <font>
      <name val="Montserrat"/>
      <color rgb="003D3D3D"/>
      <sz val="10"/>
    </font>
    <font>
      <name val="Montserrat"/>
      <color rgb="003D3D3D"/>
      <sz val="11"/>
    </font>
    <font>
      <name val="Lato"/>
      <color rgb="008C8C8C"/>
      <sz val="9"/>
    </font>
    <font>
      <name val="Lato"/>
      <i val="1"/>
      <color rgb="008C8C8C"/>
      <sz val="8.5"/>
    </font>
    <font>
      <name val="Montserrat"/>
      <color rgb="003D3D3D"/>
      <sz val="16"/>
    </font>
    <font>
      <name val="Lato"/>
      <i val="1"/>
      <color rgb="008C8C8C"/>
      <sz val="10"/>
    </font>
    <font>
      <name val="Montserrat"/>
      <color rgb="003D3D3D"/>
      <sz val="9"/>
    </font>
    <font>
      <name val="Lato"/>
      <color rgb="003D3D3D"/>
      <sz val="9.5"/>
    </font>
    <font>
      <name val="Lato"/>
      <i val="1"/>
      <color rgb="008C8C8C"/>
      <sz val="9.5"/>
    </font>
  </fonts>
  <fills count="13">
    <fill>
      <patternFill/>
    </fill>
    <fill>
      <patternFill patternType="lightGray"/>
    </fill>
    <fill>
      <patternFill patternType="solid">
        <fgColor rgb="FF1F3864"/>
        <bgColor rgb="FF1F3864"/>
      </patternFill>
    </fill>
    <fill>
      <patternFill patternType="solid">
        <fgColor rgb="FF4472C4"/>
        <bgColor rgb="FF4472C4"/>
      </patternFill>
    </fill>
    <fill>
      <patternFill patternType="solid">
        <fgColor rgb="FFD9E1F2"/>
        <bgColor rgb="FFD9E1F2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FFE4B5"/>
        <bgColor rgb="FFFFE4B5"/>
      </patternFill>
    </fill>
    <fill>
      <patternFill patternType="solid">
        <fgColor rgb="00595959"/>
      </patternFill>
    </fill>
    <fill>
      <patternFill patternType="solid">
        <fgColor rgb="003D3D3D"/>
      </patternFill>
    </fill>
    <fill>
      <patternFill patternType="solid">
        <fgColor rgb="00EDEDED"/>
      </patternFill>
    </fill>
    <fill>
      <patternFill patternType="solid">
        <fgColor rgb="00C4C4C4"/>
      </patternFill>
    </fill>
    <fill>
      <patternFill patternType="solid">
        <fgColor rgb="00F2F2F2"/>
      </patternFill>
    </fill>
  </fills>
  <borders count="7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bottom style="medium">
        <color rgb="003D3D3D"/>
      </bottom>
    </border>
    <border>
      <bottom style="thin">
        <color rgb="008C8C8C"/>
      </bottom>
    </border>
  </borders>
  <cellStyleXfs count="1">
    <xf numFmtId="0" fontId="0" fillId="0" borderId="0"/>
  </cellStyleXfs>
  <cellXfs count="132">
    <xf numFmtId="0" fontId="0" fillId="0" borderId="0" applyAlignment="1" pivotButton="0" quotePrefix="0" xfId="0">
      <alignment vertical="bottom"/>
    </xf>
    <xf numFmtId="0" fontId="1" fillId="2" borderId="1" applyAlignment="1" pivotButton="0" quotePrefix="0" xfId="0">
      <alignment horizontal="center" vertical="center"/>
    </xf>
    <xf numFmtId="0" fontId="2" fillId="0" borderId="2" pivotButton="0" quotePrefix="0" xfId="0"/>
    <xf numFmtId="0" fontId="2" fillId="0" borderId="3" pivotButton="0" quotePrefix="0" xfId="0"/>
    <xf numFmtId="0" fontId="3" fillId="3" borderId="1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bottom" wrapText="1"/>
    </xf>
    <xf numFmtId="0" fontId="5" fillId="4" borderId="4" applyAlignment="1" pivotButton="0" quotePrefix="0" xfId="0">
      <alignment vertical="top"/>
    </xf>
    <xf numFmtId="0" fontId="6" fillId="0" borderId="0" applyAlignment="1" pivotButton="0" quotePrefix="0" xfId="0">
      <alignment vertical="top" wrapText="1"/>
    </xf>
    <xf numFmtId="0" fontId="7" fillId="2" borderId="1" applyAlignment="1" pivotButton="0" quotePrefix="0" xfId="0">
      <alignment vertical="bottom"/>
    </xf>
    <xf numFmtId="0" fontId="5" fillId="4" borderId="4" applyAlignment="1" pivotButton="0" quotePrefix="0" xfId="0">
      <alignment vertical="bottom"/>
    </xf>
    <xf numFmtId="164" fontId="8" fillId="0" borderId="0" applyAlignment="1" pivotButton="0" quotePrefix="0" xfId="0">
      <alignment vertical="bottom"/>
    </xf>
    <xf numFmtId="0" fontId="3" fillId="3" borderId="1" applyAlignment="1" pivotButton="0" quotePrefix="0" xfId="0">
      <alignment vertical="bottom"/>
    </xf>
    <xf numFmtId="0" fontId="7" fillId="3" borderId="4" applyAlignment="1" pivotButton="0" quotePrefix="0" xfId="0">
      <alignment vertical="bottom"/>
    </xf>
    <xf numFmtId="0" fontId="7" fillId="2" borderId="4" applyAlignment="1" pivotButton="0" quotePrefix="0" xfId="0">
      <alignment vertical="bottom"/>
    </xf>
    <xf numFmtId="0" fontId="6" fillId="2" borderId="4" applyAlignment="1" pivotButton="0" quotePrefix="0" xfId="0">
      <alignment vertical="bottom"/>
    </xf>
    <xf numFmtId="0" fontId="6" fillId="0" borderId="0" applyAlignment="1" pivotButton="0" quotePrefix="0" xfId="0">
      <alignment vertical="bottom"/>
    </xf>
    <xf numFmtId="165" fontId="9" fillId="0" borderId="0" applyAlignment="1" pivotButton="0" quotePrefix="0" xfId="0">
      <alignment vertical="bottom"/>
    </xf>
    <xf numFmtId="0" fontId="4" fillId="0" borderId="0" applyAlignment="1" pivotButton="0" quotePrefix="0" xfId="0">
      <alignment vertical="bottom" wrapText="1"/>
    </xf>
    <xf numFmtId="164" fontId="10" fillId="0" borderId="0" applyAlignment="1" pivotButton="0" quotePrefix="0" xfId="0">
      <alignment vertical="bottom"/>
    </xf>
    <xf numFmtId="164" fontId="5" fillId="4" borderId="4" applyAlignment="1" pivotButton="0" quotePrefix="0" xfId="0">
      <alignment vertical="bottom"/>
    </xf>
    <xf numFmtId="164" fontId="9" fillId="0" borderId="0" applyAlignment="1" pivotButton="0" quotePrefix="0" xfId="0">
      <alignment vertical="bottom"/>
    </xf>
    <xf numFmtId="164" fontId="9" fillId="4" borderId="4" applyAlignment="1" pivotButton="0" quotePrefix="0" xfId="0">
      <alignment vertical="bottom"/>
    </xf>
    <xf numFmtId="0" fontId="6" fillId="0" borderId="0" applyAlignment="1" pivotButton="0" quotePrefix="0" xfId="0">
      <alignment vertical="bottom" wrapText="1"/>
    </xf>
    <xf numFmtId="164" fontId="7" fillId="2" borderId="4" applyAlignment="1" pivotButton="0" quotePrefix="0" xfId="0">
      <alignment vertical="bottom"/>
    </xf>
    <xf numFmtId="165" fontId="7" fillId="2" borderId="4" applyAlignment="1" pivotButton="0" quotePrefix="0" xfId="0">
      <alignment vertical="bottom"/>
    </xf>
    <xf numFmtId="0" fontId="5" fillId="5" borderId="4" applyAlignment="1" pivotButton="0" quotePrefix="0" xfId="0">
      <alignment vertical="bottom"/>
    </xf>
    <xf numFmtId="164" fontId="9" fillId="5" borderId="4" applyAlignment="1" pivotButton="0" quotePrefix="0" xfId="0">
      <alignment vertical="bottom"/>
    </xf>
    <xf numFmtId="165" fontId="9" fillId="5" borderId="4" applyAlignment="1" pivotButton="0" quotePrefix="0" xfId="0">
      <alignment vertical="bottom"/>
    </xf>
    <xf numFmtId="0" fontId="5" fillId="0" borderId="0" applyAlignment="1" pivotButton="0" quotePrefix="0" xfId="0">
      <alignment vertical="bottom"/>
    </xf>
    <xf numFmtId="0" fontId="6" fillId="6" borderId="4" applyAlignment="1" pivotButton="0" quotePrefix="0" xfId="0">
      <alignment vertical="bottom"/>
    </xf>
    <xf numFmtId="166" fontId="10" fillId="0" borderId="0" applyAlignment="1" pivotButton="0" quotePrefix="0" xfId="0">
      <alignment vertical="bottom"/>
    </xf>
    <xf numFmtId="166" fontId="9" fillId="0" borderId="0" applyAlignment="1" pivotButton="0" quotePrefix="0" xfId="0">
      <alignment vertical="bottom"/>
    </xf>
    <xf numFmtId="165" fontId="10" fillId="5" borderId="4" applyAlignment="1" pivotButton="0" quotePrefix="0" xfId="0">
      <alignment vertical="bottom"/>
    </xf>
    <xf numFmtId="49" fontId="11" fillId="5" borderId="4" applyAlignment="1" pivotButton="0" quotePrefix="0" xfId="0">
      <alignment horizontal="center" vertical="bottom"/>
    </xf>
    <xf numFmtId="0" fontId="7" fillId="3" borderId="4" applyAlignment="1" pivotButton="0" quotePrefix="0" xfId="0">
      <alignment horizontal="center" vertical="center" wrapText="1"/>
    </xf>
    <xf numFmtId="0" fontId="6" fillId="0" borderId="0" applyAlignment="1" pivotButton="0" quotePrefix="0" xfId="0">
      <alignment horizontal="center" vertical="bottom"/>
    </xf>
    <xf numFmtId="165" fontId="5" fillId="4" borderId="4" applyAlignment="1" pivotButton="0" quotePrefix="0" xfId="0">
      <alignment vertical="bottom"/>
    </xf>
    <xf numFmtId="0" fontId="7" fillId="3" borderId="4" applyAlignment="1" pivotButton="0" quotePrefix="0" xfId="0">
      <alignment horizontal="center" vertical="bottom" wrapText="1"/>
    </xf>
    <xf numFmtId="165" fontId="8" fillId="0" borderId="0" applyAlignment="1" pivotButton="0" quotePrefix="0" xfId="0">
      <alignment vertical="bottom"/>
    </xf>
    <xf numFmtId="166" fontId="8" fillId="0" borderId="0" applyAlignment="1" pivotButton="0" quotePrefix="0" xfId="0">
      <alignment vertical="bottom"/>
    </xf>
    <xf numFmtId="0" fontId="6" fillId="6" borderId="4" applyAlignment="1" pivotButton="0" quotePrefix="0" xfId="0">
      <alignment vertical="bottom" wrapText="1"/>
    </xf>
    <xf numFmtId="0" fontId="6" fillId="4" borderId="4" applyAlignment="1" pivotButton="0" quotePrefix="0" xfId="0">
      <alignment vertical="bottom"/>
    </xf>
    <xf numFmtId="49" fontId="8" fillId="0" borderId="0" applyAlignment="1" pivotButton="0" quotePrefix="0" xfId="0">
      <alignment horizontal="center" vertical="bottom"/>
    </xf>
    <xf numFmtId="0" fontId="7" fillId="2" borderId="4" applyAlignment="1" pivotButton="0" quotePrefix="0" xfId="0">
      <alignment vertical="bottom" wrapText="1"/>
    </xf>
    <xf numFmtId="0" fontId="5" fillId="7" borderId="1" applyAlignment="1" pivotButton="0" quotePrefix="0" xfId="0">
      <alignment vertical="bottom"/>
    </xf>
    <xf numFmtId="165" fontId="10" fillId="0" borderId="0" applyAlignment="1" pivotButton="0" quotePrefix="0" xfId="0">
      <alignment vertical="bottom"/>
    </xf>
    <xf numFmtId="0" fontId="5" fillId="4" borderId="1" applyAlignment="1" pivotButton="0" quotePrefix="0" xfId="0">
      <alignment vertical="bottom" wrapText="1"/>
    </xf>
    <xf numFmtId="0" fontId="6" fillId="4" borderId="4" applyAlignment="1" pivotButton="0" quotePrefix="0" xfId="0">
      <alignment vertical="bottom" wrapText="1"/>
    </xf>
    <xf numFmtId="0" fontId="0" fillId="0" borderId="0" pivotButton="0" quotePrefix="0" xfId="0"/>
    <xf numFmtId="0" fontId="12" fillId="0" borderId="0" pivotButton="0" quotePrefix="0" xfId="0"/>
    <xf numFmtId="0" fontId="13" fillId="8" borderId="4" applyAlignment="1" pivotButton="0" quotePrefix="0" xfId="0">
      <alignment horizontal="center" vertical="center"/>
    </xf>
    <xf numFmtId="0" fontId="14" fillId="9" borderId="4" applyAlignment="1" pivotButton="0" quotePrefix="0" xfId="0">
      <alignment horizontal="center" vertical="center"/>
    </xf>
    <xf numFmtId="0" fontId="15" fillId="0" borderId="0" applyAlignment="1" pivotButton="0" quotePrefix="0" xfId="0">
      <alignment horizontal="center" vertical="bottom" wrapText="1"/>
    </xf>
    <xf numFmtId="0" fontId="16" fillId="10" borderId="4" applyAlignment="1" pivotButton="0" quotePrefix="0" xfId="0">
      <alignment vertical="top"/>
    </xf>
    <xf numFmtId="0" fontId="12" fillId="0" borderId="0" applyAlignment="1" pivotButton="0" quotePrefix="0" xfId="0">
      <alignment vertical="top" wrapText="1"/>
    </xf>
    <xf numFmtId="0" fontId="17" fillId="8" borderId="4" applyAlignment="1" pivotButton="0" quotePrefix="0" xfId="0">
      <alignment vertical="bottom"/>
    </xf>
    <xf numFmtId="0" fontId="16" fillId="10" borderId="4" applyAlignment="1" pivotButton="0" quotePrefix="0" xfId="0">
      <alignment vertical="bottom"/>
    </xf>
    <xf numFmtId="164" fontId="12" fillId="0" borderId="0" applyAlignment="1" pivotButton="0" quotePrefix="0" xfId="0">
      <alignment vertical="bottom"/>
    </xf>
    <xf numFmtId="0" fontId="14" fillId="9" borderId="4" applyAlignment="1" pivotButton="0" quotePrefix="0" xfId="0">
      <alignment vertical="bottom"/>
    </xf>
    <xf numFmtId="0" fontId="17" fillId="9" borderId="4" applyAlignment="1" pivotButton="0" quotePrefix="0" xfId="0">
      <alignment vertical="bottom"/>
    </xf>
    <xf numFmtId="0" fontId="12" fillId="0" borderId="0" applyAlignment="1" pivotButton="0" quotePrefix="0" xfId="0">
      <alignment vertical="bottom"/>
    </xf>
    <xf numFmtId="165" fontId="12" fillId="0" borderId="0" applyAlignment="1" pivotButton="0" quotePrefix="0" xfId="0">
      <alignment vertical="bottom"/>
    </xf>
    <xf numFmtId="0" fontId="15" fillId="0" borderId="0" applyAlignment="1" pivotButton="0" quotePrefix="0" xfId="0">
      <alignment vertical="bottom" wrapText="1"/>
    </xf>
    <xf numFmtId="164" fontId="12" fillId="10" borderId="0" applyAlignment="1" pivotButton="0" quotePrefix="0" xfId="0">
      <alignment vertical="bottom"/>
    </xf>
    <xf numFmtId="164" fontId="16" fillId="10" borderId="4" applyAlignment="1" pivotButton="0" quotePrefix="0" xfId="0">
      <alignment vertical="bottom"/>
    </xf>
    <xf numFmtId="164" fontId="12" fillId="10" borderId="4" applyAlignment="1" pivotButton="0" quotePrefix="0" xfId="0">
      <alignment vertical="bottom"/>
    </xf>
    <xf numFmtId="0" fontId="12" fillId="0" borderId="0" applyAlignment="1" pivotButton="0" quotePrefix="0" xfId="0">
      <alignment vertical="bottom" wrapText="1"/>
    </xf>
    <xf numFmtId="164" fontId="17" fillId="8" borderId="4" applyAlignment="1" pivotButton="0" quotePrefix="0" xfId="0">
      <alignment vertical="bottom"/>
    </xf>
    <xf numFmtId="165" fontId="17" fillId="8" borderId="4" applyAlignment="1" pivotButton="0" quotePrefix="0" xfId="0">
      <alignment vertical="bottom"/>
    </xf>
    <xf numFmtId="0" fontId="16" fillId="11" borderId="4" applyAlignment="1" pivotButton="0" quotePrefix="0" xfId="0">
      <alignment vertical="bottom"/>
    </xf>
    <xf numFmtId="164" fontId="12" fillId="11" borderId="4" applyAlignment="1" pivotButton="0" quotePrefix="0" xfId="0">
      <alignment vertical="bottom"/>
    </xf>
    <xf numFmtId="165" fontId="12" fillId="11" borderId="4" applyAlignment="1" pivotButton="0" quotePrefix="0" xfId="0">
      <alignment vertical="bottom"/>
    </xf>
    <xf numFmtId="0" fontId="16" fillId="0" borderId="0" applyAlignment="1" pivotButton="0" quotePrefix="0" xfId="0">
      <alignment vertical="bottom"/>
    </xf>
    <xf numFmtId="0" fontId="12" fillId="12" borderId="4" applyAlignment="1" pivotButton="0" quotePrefix="0" xfId="0">
      <alignment vertical="bottom"/>
    </xf>
    <xf numFmtId="166" fontId="12" fillId="10" borderId="0" applyAlignment="1" pivotButton="0" quotePrefix="0" xfId="0">
      <alignment vertical="bottom"/>
    </xf>
    <xf numFmtId="166" fontId="12" fillId="0" borderId="0" applyAlignment="1" pivotButton="0" quotePrefix="0" xfId="0">
      <alignment vertical="bottom"/>
    </xf>
    <xf numFmtId="49" fontId="16" fillId="11" borderId="4" applyAlignment="1" pivotButton="0" quotePrefix="0" xfId="0">
      <alignment horizontal="center" vertical="bottom"/>
    </xf>
    <xf numFmtId="0" fontId="17" fillId="9" borderId="4" applyAlignment="1" pivotButton="0" quotePrefix="0" xfId="0">
      <alignment horizontal="center" vertical="center" wrapText="1"/>
    </xf>
    <xf numFmtId="0" fontId="12" fillId="0" borderId="0" applyAlignment="1" pivotButton="0" quotePrefix="0" xfId="0">
      <alignment horizontal="center" vertical="bottom"/>
    </xf>
    <xf numFmtId="165" fontId="16" fillId="10" borderId="4" applyAlignment="1" pivotButton="0" quotePrefix="0" xfId="0">
      <alignment vertical="bottom"/>
    </xf>
    <xf numFmtId="0" fontId="17" fillId="9" borderId="4" applyAlignment="1" pivotButton="0" quotePrefix="0" xfId="0">
      <alignment horizontal="center" vertical="bottom" wrapText="1"/>
    </xf>
    <xf numFmtId="0" fontId="12" fillId="12" borderId="4" applyAlignment="1" pivotButton="0" quotePrefix="0" xfId="0">
      <alignment vertical="bottom" wrapText="1"/>
    </xf>
    <xf numFmtId="0" fontId="12" fillId="10" borderId="4" applyAlignment="1" pivotButton="0" quotePrefix="0" xfId="0">
      <alignment vertical="bottom"/>
    </xf>
    <xf numFmtId="49" fontId="12" fillId="0" borderId="0" applyAlignment="1" pivotButton="0" quotePrefix="0" xfId="0">
      <alignment horizontal="center" vertical="bottom"/>
    </xf>
    <xf numFmtId="0" fontId="17" fillId="8" borderId="4" applyAlignment="1" pivotButton="0" quotePrefix="0" xfId="0">
      <alignment vertical="bottom" wrapText="1"/>
    </xf>
    <xf numFmtId="165" fontId="12" fillId="10" borderId="0" applyAlignment="1" pivotButton="0" quotePrefix="0" xfId="0">
      <alignment vertical="bottom"/>
    </xf>
    <xf numFmtId="0" fontId="16" fillId="10" borderId="4" applyAlignment="1" pivotButton="0" quotePrefix="0" xfId="0">
      <alignment vertical="bottom" wrapText="1"/>
    </xf>
    <xf numFmtId="0" fontId="12" fillId="10" borderId="4" applyAlignment="1" pivotButton="0" quotePrefix="0" xfId="0">
      <alignment vertical="bottom" wrapText="1"/>
    </xf>
    <xf numFmtId="0" fontId="18" fillId="0" borderId="0" applyAlignment="1" pivotButton="0" quotePrefix="0" xfId="0">
      <alignment horizontal="left" vertical="center"/>
    </xf>
    <xf numFmtId="0" fontId="0" fillId="0" borderId="5" pivotButton="0" quotePrefix="0" xfId="0"/>
    <xf numFmtId="0" fontId="19" fillId="0" borderId="0" applyAlignment="1" pivotButton="0" quotePrefix="0" xfId="0">
      <alignment horizontal="left" vertical="center"/>
    </xf>
    <xf numFmtId="0" fontId="20" fillId="0" borderId="0" applyAlignment="1" pivotButton="0" quotePrefix="0" xfId="0">
      <alignment horizontal="left" vertical="center"/>
    </xf>
    <xf numFmtId="0" fontId="21" fillId="0" borderId="0" applyAlignment="1" pivotButton="0" quotePrefix="0" xfId="0">
      <alignment horizontal="left" vertical="center"/>
    </xf>
    <xf numFmtId="0" fontId="22" fillId="0" borderId="0" applyAlignment="1" pivotButton="0" quotePrefix="0" xfId="0">
      <alignment horizontal="left" vertical="center"/>
    </xf>
    <xf numFmtId="0" fontId="23" fillId="9" borderId="0" applyAlignment="1" pivotButton="0" quotePrefix="0" xfId="0">
      <alignment horizontal="left" vertical="center" indent="1"/>
    </xf>
    <xf numFmtId="0" fontId="0" fillId="9" borderId="0" pivotButton="0" quotePrefix="0" xfId="0"/>
    <xf numFmtId="0" fontId="24" fillId="0" borderId="0" applyAlignment="1" pivotButton="0" quotePrefix="0" xfId="0">
      <alignment horizontal="left" vertical="center"/>
    </xf>
    <xf numFmtId="0" fontId="22" fillId="0" borderId="0" applyAlignment="1" pivotButton="0" quotePrefix="0" xfId="0">
      <alignment horizontal="left" vertical="center" wrapText="1"/>
    </xf>
    <xf numFmtId="0" fontId="24" fillId="0" borderId="0" applyAlignment="1" pivotButton="0" quotePrefix="0" xfId="0">
      <alignment horizontal="left" vertical="center" wrapText="1"/>
    </xf>
    <xf numFmtId="167" fontId="25" fillId="0" borderId="0" applyAlignment="1" pivotButton="0" quotePrefix="0" xfId="0">
      <alignment horizontal="right" vertical="center"/>
    </xf>
    <xf numFmtId="1" fontId="25" fillId="0" borderId="0" applyAlignment="1" pivotButton="0" quotePrefix="0" xfId="0">
      <alignment horizontal="right" vertical="center"/>
    </xf>
    <xf numFmtId="168" fontId="25" fillId="0" borderId="0" applyAlignment="1" pivotButton="0" quotePrefix="0" xfId="0">
      <alignment horizontal="right" vertical="center"/>
    </xf>
    <xf numFmtId="0" fontId="25" fillId="0" borderId="0" applyAlignment="1" pivotButton="0" quotePrefix="0" xfId="0">
      <alignment horizontal="right" vertical="center"/>
    </xf>
    <xf numFmtId="169" fontId="25" fillId="0" borderId="0" applyAlignment="1" pivotButton="0" quotePrefix="0" xfId="0">
      <alignment horizontal="right" vertical="center"/>
    </xf>
    <xf numFmtId="0" fontId="26" fillId="0" borderId="0" applyAlignment="1" pivotButton="0" quotePrefix="0" xfId="0">
      <alignment horizontal="left" vertical="center"/>
    </xf>
    <xf numFmtId="0" fontId="27" fillId="0" borderId="0" applyAlignment="1" pivotButton="0" quotePrefix="0" xfId="0">
      <alignment horizontal="left" vertical="top" wrapText="1"/>
    </xf>
    <xf numFmtId="0" fontId="28" fillId="0" borderId="0" applyAlignment="1" pivotButton="0" quotePrefix="0" xfId="0">
      <alignment horizontal="left" vertical="center"/>
    </xf>
    <xf numFmtId="0" fontId="29" fillId="0" borderId="0" applyAlignment="1" pivotButton="0" quotePrefix="0" xfId="0">
      <alignment horizontal="left" vertical="center"/>
    </xf>
    <xf numFmtId="0" fontId="24" fillId="0" borderId="0" applyAlignment="1" pivotButton="0" quotePrefix="0" xfId="0">
      <alignment horizontal="left" vertical="top"/>
    </xf>
    <xf numFmtId="0" fontId="18" fillId="0" borderId="0" applyAlignment="1" pivotButton="0" quotePrefix="0" xfId="0">
      <alignment horizontal="left" vertical="top"/>
    </xf>
    <xf numFmtId="0" fontId="30" fillId="11" borderId="6" applyAlignment="1" pivotButton="0" quotePrefix="0" xfId="0">
      <alignment horizontal="left" vertical="center" wrapText="1"/>
    </xf>
    <xf numFmtId="0" fontId="30" fillId="11" borderId="6" applyAlignment="1" pivotButton="0" quotePrefix="0" xfId="0">
      <alignment horizontal="right" vertical="center" wrapText="1"/>
    </xf>
    <xf numFmtId="0" fontId="31" fillId="0" borderId="0" applyAlignment="1" pivotButton="0" quotePrefix="0" xfId="0">
      <alignment horizontal="left" vertical="center"/>
    </xf>
    <xf numFmtId="1" fontId="22" fillId="0" borderId="0" applyAlignment="1" pivotButton="0" quotePrefix="0" xfId="0">
      <alignment horizontal="right" vertical="center"/>
    </xf>
    <xf numFmtId="167" fontId="22" fillId="0" borderId="0" applyAlignment="1" pivotButton="0" quotePrefix="0" xfId="0">
      <alignment horizontal="right" vertical="center"/>
    </xf>
    <xf numFmtId="170" fontId="22" fillId="0" borderId="0" applyAlignment="1" pivotButton="0" quotePrefix="0" xfId="0">
      <alignment horizontal="right" vertical="center"/>
    </xf>
    <xf numFmtId="0" fontId="24" fillId="10" borderId="0" applyAlignment="1" pivotButton="0" quotePrefix="0" xfId="0">
      <alignment horizontal="left" vertical="center"/>
    </xf>
    <xf numFmtId="0" fontId="22" fillId="10" borderId="0" applyAlignment="1" pivotButton="0" quotePrefix="0" xfId="0">
      <alignment vertical="center"/>
    </xf>
    <xf numFmtId="167" fontId="24" fillId="10" borderId="0" applyAlignment="1" pivotButton="0" quotePrefix="0" xfId="0">
      <alignment horizontal="right" vertical="center"/>
    </xf>
    <xf numFmtId="0" fontId="32" fillId="0" borderId="0" applyAlignment="1" pivotButton="0" quotePrefix="0" xfId="0">
      <alignment horizontal="left" vertical="center"/>
    </xf>
    <xf numFmtId="168" fontId="22" fillId="0" borderId="0" applyAlignment="1" pivotButton="0" quotePrefix="0" xfId="0">
      <alignment horizontal="right" vertical="center"/>
    </xf>
    <xf numFmtId="168" fontId="24" fillId="10" borderId="0" applyAlignment="1" pivotButton="0" quotePrefix="0" xfId="0">
      <alignment horizontal="right" vertical="center"/>
    </xf>
    <xf numFmtId="0" fontId="23" fillId="9" borderId="0" applyAlignment="1" pivotButton="0" quotePrefix="0" xfId="0">
      <alignment horizontal="left" vertical="center"/>
    </xf>
    <xf numFmtId="0" fontId="22" fillId="9" borderId="0" applyAlignment="1" pivotButton="0" quotePrefix="0" xfId="0">
      <alignment vertical="center"/>
    </xf>
    <xf numFmtId="167" fontId="23" fillId="9" borderId="0" applyAlignment="1" pivotButton="0" quotePrefix="0" xfId="0">
      <alignment horizontal="right" vertical="center"/>
    </xf>
    <xf numFmtId="168" fontId="24" fillId="0" borderId="0" applyAlignment="1" pivotButton="0" quotePrefix="0" xfId="0">
      <alignment horizontal="right" vertical="center"/>
    </xf>
    <xf numFmtId="167" fontId="24" fillId="0" borderId="0" applyAlignment="1" pivotButton="0" quotePrefix="0" xfId="0">
      <alignment horizontal="right" vertical="center"/>
    </xf>
    <xf numFmtId="10" fontId="24" fillId="0" borderId="0" applyAlignment="1" pivotButton="0" quotePrefix="0" xfId="0">
      <alignment horizontal="right" vertical="center"/>
    </xf>
    <xf numFmtId="169" fontId="24" fillId="0" borderId="0" applyAlignment="1" pivotButton="0" quotePrefix="0" xfId="0">
      <alignment horizontal="right" vertical="center"/>
    </xf>
    <xf numFmtId="170" fontId="24" fillId="0" borderId="0" applyAlignment="1" pivotButton="0" quotePrefix="0" xfId="0">
      <alignment horizontal="right" vertical="center"/>
    </xf>
    <xf numFmtId="171" fontId="24" fillId="0" borderId="0" applyAlignment="1" pivotButton="0" quotePrefix="0" xfId="0">
      <alignment horizontal="right" vertical="center"/>
    </xf>
    <xf numFmtId="1" fontId="24" fillId="0" borderId="0" applyAlignment="1" pivotButton="0" quotePrefix="0" xfId="0">
      <alignment horizontal="right" vertical="center"/>
    </xf>
  </cellXfs>
  <cellStyles count="1">
    <cellStyle name="Normal" xfId="0" builtin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comments/comment1.xml><?xml version="1.0" encoding="utf-8"?>
<comments xmlns="http://schemas.openxmlformats.org/spreadsheetml/2006/main">
  <authors>
    <author>None</author>
  </authors>
  <commentList>
    <comment ref="C7" authorId="0" shapeId="0">
      <text>
        <t>Comment: Construction-input HST is recoverable via ITCs under Scenarios A/B; no separate hard-cost allocation. Scenario C captures unrecoverable input HST in the HST line below. by Claude</t>
      </text>
    </comment>
    <comment ref="C28" authorId="0" shapeId="0">
      <text>
        <t>Comment: Reflects gross HST on FMV less applicable rebate (NRRP or PBRH). ITCs on construction-period inputs are presumed recovered separately and are NOT added back here unless Scenario C is selected. by Claude</t>
      </text>
    </comment>
  </commentList>
</comments>
</file>

<file path=xl/comments/comment2.xml><?xml version="1.0" encoding="utf-8"?>
<comments xmlns="http://schemas.openxmlformats.org/spreadsheetml/2006/main">
  <authors>
    <author>None</author>
  </authors>
  <commentList>
    <comment ref="C6" authorId="0" shapeId="0">
      <text>
        <t>Assumed 3-per-building multiplex consistent with hard-cost ratios in source (HRV $21K/6 = $3.5K/unit; plumbing $60K/6 = $10K/unit; cabinets $60K/6 = $10K/unit). Adjust if confirmed unit count differs.</t>
      </text>
    </comment>
    <comment ref="C8" authorId="0" shapeId="0">
      <text>
        <t>Derived from siding $125K @ ~$22/sqft of wall area implying ~5,700 sqft wall; consistent with two 3-storey buildings of ~2,750 sqft GBA each.</t>
      </text>
    </comment>
    <comment ref="C13" authorId="0" shapeId="0">
      <text>
        <t>Altus Group Canadian Cost Guide 2025/26 — Ottawa low-rise wood-frame multi-residential, mid-range finishes with OBC SB-12 / MLI Select envelope (R-31 walls, R-60 roof, triple-glazed windows): $285–$345/sqft. Midpoint used.</t>
      </text>
    </comment>
    <comment ref="C14" authorId="0" shapeId="0">
      <text>
        <t>BTY Group Q4-2025 Market Intelligence: 12–18% typical soft load on small/medium urban infill. 13% reflects shared design across two near-identical buildings.</t>
      </text>
    </comment>
    <comment ref="C15" authorId="0" shapeId="0">
      <text>
        <t>AACE International Recommended Practice 18R-97 Class-3 estimate (design 30–70% complete) implies +10/-5% contingency range; 10% is centerline.</t>
      </text>
    </comment>
    <comment ref="C16" authorId="0" shapeId="0">
      <text>
        <t>StatCan Building Construction Price Index Ottawa CMA 2024Q4 YoY: +3.8%; rounded to 4% to cover labour-rate creep through 18-month build.</t>
      </text>
    </comment>
    <comment ref="C18" authorId="0" shapeId="0">
      <text>
        <t>Discretionary owner reserve for change orders / scope creep / interest cushion. Best-practice 2–5% (PMI Construction Extension to PMBOK 7th ed., 2022).</t>
      </text>
    </comment>
    <comment ref="C21" authorId="0" shapeId="0">
      <text>
        <t>Carried over from source (already executed).</t>
      </text>
    </comment>
    <comment ref="C26" authorId="0" shapeId="0">
      <text>
        <t>Stewart/FCT residential title insurance for $1.07M property ~$1,500–$2,000.</t>
      </text>
    </comment>
    <comment ref="C31" authorId="0" shapeId="0">
      <text>
        <t>Ottawa Plumbing Permit fee schedule 2025 — per fixture × ~50 fixtures across 6 units.</t>
      </text>
    </comment>
    <comment ref="C34" authorId="0" shapeId="0">
      <text>
        <t>Ottawa demolition permit flat fee + admin.</t>
      </text>
    </comment>
    <comment ref="C35" authorId="0" shapeId="0">
      <text>
        <t>Required for sidewalk closure, hoist setup, lay-down area; ~14 months at posted rates.</t>
      </text>
    </comment>
    <comment ref="C36" authorId="0" shapeId="0">
      <text>
        <t>Ottawa Water Connection Charges By-law 2019-394, two services × ~$2,900.</t>
      </text>
    </comment>
    <comment ref="C37" authorId="0" shapeId="0">
      <text>
        <t>As per source — typical residential connection deposit.</t>
      </text>
    </comment>
    <comment ref="C38" authorId="0" shapeId="0">
      <text>
        <t>Two services × $400 activation.</t>
      </text>
    </comment>
    <comment ref="C41" authorId="0" shapeId="0">
      <text>
        <t>User-calibrated to ~$45-50K total based on 658 Somerset West comparable. Reflects: (a) DC Act s.2(3.2) Additional Residential Unit exemption per Bill 23 (More Homes Built Faster Act 2022) — up to 3 ARUs in a new build are exempt; (b) demolition credit for the existing single-family dwelling on site; (c) Ottawa DC By-law 2024-179 as amended by April 1, 2026 3.6% BCPI-tied schedule (avg 1% decrease inside Greenbelt); (d) Bill 17 payment timing at first occupancy permit, interest-free 18-mo deferral. Verify exact net payable at building permit issuance via City Finance DC calculator.</t>
      </text>
    </comment>
    <comment ref="C42" authorId="0" shapeId="0">
      <text>
        <t>$20K per FREEHOLD MAIN DWELLING. Configuration: each building is a freehold triplex = 1 main dwelling + 2 Additional Dwelling Units (ADUs). Under Planning Act s.42(1.3-1.5) as amended by Bill 23 (More Homes Built Faster Act 2022), ADUs in a residential building are EXEMPT from parkland dedication/cash-in-lieu. Therefore the dedicating dwelling count equals the number of buildings (2), not the total unit count (6). 2 × $20K = $40K total CILP. Same statutory logic underpins the DC reduction on this site.</t>
      </text>
    </comment>
    <comment ref="C43" authorId="0" shapeId="0">
      <text>
        <t>OCDSB EDC By-law 2024 — apartment &gt;700 sqft rate.</t>
      </text>
    </comment>
    <comment ref="C44" authorId="0" shapeId="0">
      <text>
        <t>OCCDSB does not levy EDC in Ottawa as of 2024 (only OCDSB).</t>
      </text>
    </comment>
    <comment ref="C50" authorId="0" shapeId="0">
      <text>
        <t>CMHC-insured construction take-out rates Apr-2026 BoC overnight +175 bps spread; Bank of Canada Bank Rate 5.00% as of Apr-2026.</t>
      </text>
    </comment>
    <comment ref="C51" authorId="0" shapeId="0">
      <text>
        <t>Industry rule of thumb: peak draw utilization profile averages ~55% over the build.</t>
      </text>
    </comment>
    <comment ref="C54" authorId="0" shapeId="0">
      <text>
        <t>CMHC application + premium pass-through. NOTE: CMHC MLI Select premium is funded into mortgage.</t>
      </text>
    </comment>
    <comment ref="C58" authorId="0" shapeId="0">
      <text>
        <t>Federal 5% + Ontario 8% combined HST.</t>
      </text>
    </comment>
    <comment ref="C59" authorId="0" shapeId="0">
      <text>
        <t>Self-supply fair-market value per Excise Tax Act s.191(3). CRA RC4231 specifies FMV excludes HST payable on the FMV itself. $350K is the federal NRRP phase-out start — at exactly this FMV the federal rebate is at its $6,300/unit cap; any FMV uplift erodes the federal rebate linearly to zero at $450K. Revisit with appraisal at substantial completion.</t>
      </text>
    </comment>
    <comment ref="C60" authorId="0" shapeId="0">
      <text>
        <t>A = Standard NRRP rebate (default — defensible base case). B = PBRH rebate (post-Sept 2023 starts, qualifying MURC only — net HST = $0 if eligible). C = Punitive: standard NRRP + unrecovered construction-input HST (use only if tax accountant confirms no ITC claim on inputs). Change this letter in cell C60 to flex the Summary HST line.</t>
      </text>
    </comment>
  </commentList>
</comments>
</file>

<file path=xl/comments/comment3.xml><?xml version="1.0" encoding="utf-8"?>
<comments xmlns="http://schemas.openxmlformats.org/spreadsheetml/2006/main">
  <authors>
    <author>None</author>
  </authors>
  <commentList>
    <comment ref="C5" authorId="0" shapeId="0">
      <text>
        <t>85% of TPC — conservative MLI Select construction LTC.</t>
      </text>
    </comment>
    <comment ref="C13" authorId="0" shapeId="0">
      <text>
        <t>Comment: Interest reserve = Loan × Rate × (Months/12) × AvgUtilization. Standard underwriting method per CMHC MLI Select Construction Financing Guidelines 2024. by Claude</t>
      </text>
    </comment>
    <comment ref="C17" authorId="0" shapeId="0">
      <text>
        <t>Comment: CMHC MLI Select insurance premium passed into takeout. Actual premium = 1.75–5.50% depending on score points achieved. Using 2.0% as midpoint placeholder. by Claude</t>
      </text>
    </comment>
  </commentList>
</comments>
</file>

<file path=xl/comments/comment4.xml><?xml version="1.0" encoding="utf-8"?>
<comments xmlns="http://schemas.openxmlformats.org/spreadsheetml/2006/main">
  <authors>
    <author>None</author>
  </authors>
  <commentList>
    <comment ref="C14" authorId="0" shapeId="0">
      <text>
        <t>Comment: ETA s.256.2(3); CRA RC4231. At exactly $350K FMV, federal NRRP = $6,300/unit (cap binding). by Claude</t>
      </text>
    </comment>
    <comment ref="C15" authorId="0" shapeId="0">
      <text>
        <t>Comment: Ontario NRRP — Taxation Act 2007 S.O. 2007 c.11 Sch.A s.103. At $350K FMV: 75% × $28K = $21,000. by Claude</t>
      </text>
    </comment>
    <comment ref="C21" authorId="0" shapeId="0">
      <text>
        <t>Comment: ETA s.256.2.1 — Federal PBRH at 100% of federal HST. Eligibility (CRA Guide 19-3-9): construction begins after Sept 13 2023 and before 2031; substantial completion before 2036; qualifying multiple-unit residential complex. EXCLUDED: condos, single-unit, duplexes, triplexes, leased-land/trailer-park housing. Two-triplex configuration likely disqualifies UNLESS treated as one integrated six-unit MURC. Tax counsel determination required. by Claude</t>
      </text>
    </comment>
    <comment ref="C22" authorId="0" shapeId="0">
      <text>
        <t>Comment: Ontario provincial PBRH mirrors federal — 100% of provincial HST. Conditional on federal PBRH eligibility. by Claude</t>
      </text>
    </comment>
    <comment ref="C27" authorId="0" shapeId="0">
      <text>
        <t>Comment: Applies ONLY if entity is NOT a GST/HST registrant, OR tax accountant determines inputs are tied to exempt rental use rather than the taxable self-supply. Confirm with tax counsel before relying on this scenario as base case. by Claude</t>
      </text>
    </comment>
  </commentList>
</comments>
</file>

<file path=xl/comments/comment5.xml><?xml version="1.0" encoding="utf-8"?>
<comments xmlns="http://schemas.openxmlformats.org/spreadsheetml/2006/main">
  <authors>
    <author>None</author>
  </authors>
  <commentList>
    <comment ref="F17" authorId="0" shapeId="0">
      <text>
        <t>Comment: Positive = contingencies cover expected-value risks. Negative = risk-adjusted exposure exceeds buffer. by Claude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1</row>
      <rowOff>0</rowOff>
    </from>
    <ext cx="1333500" cy="13335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3.xml.rels><Relationships xmlns="http://schemas.openxmlformats.org/package/2006/relationships"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9.xml.rels><Relationships xmlns="http://schemas.openxmlformats.org/package/2006/relationships"><Relationship Type="http://schemas.openxmlformats.org/officeDocument/2006/relationships/comments" Target="/xl/comments/comment3.xml" Id="comments"/><Relationship Type="http://schemas.openxmlformats.org/officeDocument/2006/relationships/vmlDrawing" Target="/xl/drawings/commentsDrawing3.vml" Id="anysvml"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4.xml" Id="comments"/><Relationship Type="http://schemas.openxmlformats.org/officeDocument/2006/relationships/vmlDrawing" Target="/xl/drawings/commentsDrawing4.vml" Id="anysvml"/></Relationships>
</file>

<file path=xl/worksheets/_rels/sheet13.xml.rels><Relationships xmlns="http://schemas.openxmlformats.org/package/2006/relationships"><Relationship Type="http://schemas.openxmlformats.org/officeDocument/2006/relationships/comments" Target="/xl/comments/comment5.xml" Id="comments"/><Relationship Type="http://schemas.openxmlformats.org/officeDocument/2006/relationships/vmlDrawing" Target="/xl/drawings/commentsDrawing5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B11:F44"/>
  <sheetViews>
    <sheetView showGridLines="0" workbookViewId="0">
      <selection activeCell="A1" sqref="A1"/>
    </sheetView>
  </sheetViews>
  <sheetFormatPr baseColWidth="8" defaultRowHeight="15"/>
  <cols>
    <col width="2" customWidth="1" style="48" min="1" max="1"/>
    <col width="40" customWidth="1" style="48" min="2" max="2"/>
    <col width="14" customWidth="1" style="48" min="3" max="3"/>
    <col width="14" customWidth="1" style="48" min="4" max="4"/>
    <col width="16" customWidth="1" style="48" min="5" max="5"/>
    <col width="12" customWidth="1" style="48" min="6" max="6"/>
  </cols>
  <sheetData>
    <row r="11">
      <c r="B11" s="88" t="inlineStr">
        <is>
          <t>ENGAGEMENT REPORT   ·   REAL ESTATE DEVELOPMENT ADVISORY</t>
        </is>
      </c>
    </row>
    <row r="12">
      <c r="B12" s="89" t="n"/>
      <c r="C12" s="89" t="n"/>
      <c r="D12" s="89" t="n"/>
      <c r="E12" s="89" t="n"/>
      <c r="F12" s="89" t="n"/>
    </row>
    <row r="14" ht="28" customHeight="1" s="48">
      <c r="B14" s="90" t="inlineStr">
        <is>
          <t>Small-Scale Infill Residential Development</t>
        </is>
      </c>
    </row>
    <row r="15">
      <c r="B15" s="91" t="inlineStr">
        <is>
          <t>Development Pro-Forma · Planning · CMHC Financing</t>
        </is>
      </c>
    </row>
    <row r="17">
      <c r="B17" s="92" t="inlineStr">
        <is>
          <t>Anonymised case study   ·   two-building infill, Ottawa, Ontario</t>
        </is>
      </c>
    </row>
    <row r="18">
      <c r="B18" s="93" t="inlineStr">
        <is>
          <t>Prepared by Lumenalis Consulting Ltd.</t>
        </is>
      </c>
    </row>
    <row r="20" ht="22" customHeight="1" s="48">
      <c r="B20" s="94" t="inlineStr">
        <is>
          <t>PROJECT PROFILE</t>
        </is>
      </c>
      <c r="C20" s="95" t="n"/>
      <c r="D20" s="95" t="n"/>
      <c r="E20" s="95" t="n"/>
      <c r="F20" s="95" t="n"/>
    </row>
    <row r="21">
      <c r="B21" s="96" t="inlineStr">
        <is>
          <t>Asset type</t>
        </is>
      </c>
      <c r="C21" s="97" t="inlineStr">
        <is>
          <t>Two detached triplexes — purpose-built rental</t>
        </is>
      </c>
    </row>
    <row r="22">
      <c r="B22" s="96" t="inlineStr">
        <is>
          <t>Programme</t>
        </is>
      </c>
      <c r="C22" s="97" t="inlineStr">
        <is>
          <t>6 dwellings (each building: 1 principal dwelling + 2 additional dwelling units)</t>
        </is>
      </c>
    </row>
    <row r="23">
      <c r="B23" s="96" t="inlineStr">
        <is>
          <t>Location</t>
        </is>
      </c>
      <c r="C23" s="97" t="inlineStr">
        <is>
          <t>Established, transit-oriented Ottawa neighbourhood (address withheld)</t>
        </is>
      </c>
    </row>
    <row r="24">
      <c r="B24" s="96" t="inlineStr">
        <is>
          <t>Site</t>
        </is>
      </c>
      <c r="C24" s="97" t="inlineStr">
        <is>
          <t>Severed corner lot subdivided into two parcels</t>
        </is>
      </c>
    </row>
    <row r="25">
      <c r="B25" s="96" t="inlineStr">
        <is>
          <t>Financing strategy</t>
        </is>
      </c>
      <c r="C25" s="97" t="inlineStr">
        <is>
          <t>CMHC MLI Select construction-to-takeout (energy + affordability tiers)</t>
        </is>
      </c>
    </row>
    <row r="26">
      <c r="B26" s="96" t="inlineStr">
        <is>
          <t>Planning status</t>
        </is>
      </c>
      <c r="C26" s="97" t="inlineStr">
        <is>
          <t>Severance + minor variances — appeal allowed by the Ontario Land Tribunal (2024)</t>
        </is>
      </c>
    </row>
    <row r="28" ht="22" customHeight="1" s="48">
      <c r="B28" s="94" t="inlineStr">
        <is>
          <t>HEADLINE OUTPUTS</t>
        </is>
      </c>
      <c r="C28" s="95" t="n"/>
      <c r="D28" s="95" t="n"/>
      <c r="E28" s="95" t="n"/>
      <c r="F28" s="95" t="n"/>
    </row>
    <row r="29">
      <c r="B29" s="98" t="inlineStr">
        <is>
          <t>Total project cost (rebuilt budget)</t>
        </is>
      </c>
      <c r="E29" s="99" t="n">
        <v>3999347</v>
      </c>
    </row>
    <row r="30">
      <c r="B30" s="98" t="inlineStr">
        <is>
          <t>Total dwellings</t>
        </is>
      </c>
      <c r="E30" s="100" t="n">
        <v>6</v>
      </c>
    </row>
    <row r="31">
      <c r="B31" s="98" t="inlineStr">
        <is>
          <t>Cost per dwelling</t>
        </is>
      </c>
      <c r="E31" s="99" t="n">
        <v>666558</v>
      </c>
    </row>
    <row r="32">
      <c r="B32" s="98" t="inlineStr">
        <is>
          <t>Cost per sq ft GBA</t>
        </is>
      </c>
      <c r="E32" s="99" t="n">
        <v>727</v>
      </c>
    </row>
    <row r="33">
      <c r="B33" s="98" t="inlineStr">
        <is>
          <t>Stabilised net operating income (CMHC)</t>
        </is>
      </c>
      <c r="E33" s="99" t="n">
        <v>211134</v>
      </c>
    </row>
    <row r="34">
      <c r="B34" s="98" t="inlineStr">
        <is>
          <t>Applied capitalisation rate</t>
        </is>
      </c>
      <c r="E34" s="101" t="n">
        <v>0.05</v>
      </c>
    </row>
    <row r="35">
      <c r="B35" s="98" t="inlineStr">
        <is>
          <t>CMHC estimated value (stabilised)</t>
        </is>
      </c>
      <c r="E35" s="99" t="n">
        <v>4222688</v>
      </c>
    </row>
    <row r="36">
      <c r="B36" s="98" t="inlineStr">
        <is>
          <t>CMHC first mortgage</t>
        </is>
      </c>
      <c r="E36" s="99" t="n">
        <v>3320000</v>
      </c>
    </row>
    <row r="37">
      <c r="B37" s="98" t="inlineStr">
        <is>
          <t>First-mortgage rate / amortisation</t>
        </is>
      </c>
      <c r="E37" s="102" t="inlineStr">
        <is>
          <t>3.95% · 40 yr</t>
        </is>
      </c>
    </row>
    <row r="38">
      <c r="B38" s="98" t="inlineStr">
        <is>
          <t>Debt-service coverage ratio</t>
        </is>
      </c>
      <c r="E38" s="103" t="n">
        <v>1.28</v>
      </c>
    </row>
    <row r="40">
      <c r="B40" s="104" t="inlineStr">
        <is>
          <t>Document control no.</t>
        </is>
      </c>
      <c r="C40" s="104" t="inlineStr">
        <is>
          <t>LUM-RP-RES02-01.00</t>
        </is>
      </c>
    </row>
    <row r="41">
      <c r="B41" s="104" t="inlineStr">
        <is>
          <t>Version / date</t>
        </is>
      </c>
      <c r="C41" s="104" t="inlineStr">
        <is>
          <t>v1.0   ·   2026-05-21</t>
        </is>
      </c>
    </row>
    <row r="43" ht="40" customHeight="1" s="48">
      <c r="B43" s="105" t="inlineStr">
        <is>
          <t>Anonymised for publication: address, postal code, ownership, counsel, tribunal-member and consultant names, and file/board numbers removed (PIPEDA, S.C. 2000, c.5). All figures are those of the underlying engagement. Two cost lenses appear — the rebuilt development budget (cost-to-build) and the CMHC underwriting (operating value &amp; financing); each is shown in its own tab and reconciled on Sources &amp; Method.</t>
        </is>
      </c>
    </row>
    <row r="44"/>
  </sheetData>
  <mergeCells count="29">
    <mergeCell ref="C34:D34"/>
    <mergeCell ref="C23:F23"/>
    <mergeCell ref="C30:D30"/>
    <mergeCell ref="C33:D33"/>
    <mergeCell ref="E33:F33"/>
    <mergeCell ref="C35:D35"/>
    <mergeCell ref="E35:F35"/>
    <mergeCell ref="C29:D29"/>
    <mergeCell ref="E38:F38"/>
    <mergeCell ref="E29:F29"/>
    <mergeCell ref="C24:F24"/>
    <mergeCell ref="C31:D31"/>
    <mergeCell ref="E31:F31"/>
    <mergeCell ref="E34:F34"/>
    <mergeCell ref="E30:F30"/>
    <mergeCell ref="C26:F26"/>
    <mergeCell ref="B28:F28"/>
    <mergeCell ref="C36:D36"/>
    <mergeCell ref="E36:F36"/>
    <mergeCell ref="C25:F25"/>
    <mergeCell ref="C22:F22"/>
    <mergeCell ref="B43:F44"/>
    <mergeCell ref="C32:D32"/>
    <mergeCell ref="C38:D38"/>
    <mergeCell ref="E32:F32"/>
    <mergeCell ref="B20:F20"/>
    <mergeCell ref="C37:D37"/>
    <mergeCell ref="C21:F21"/>
    <mergeCell ref="E37:F37"/>
  </mergeCells>
  <pageMargins left="0.4" right="0.4" top="0.5" bottom="0.5" header="0.5" footer="0.5"/>
  <pageSetup fitToHeight="0" fitToWidth="1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E37"/>
  <sheetViews>
    <sheetView showGridLines="0" workbookViewId="0">
      <selection activeCell="A1" sqref="A1"/>
    </sheetView>
  </sheetViews>
  <sheetFormatPr baseColWidth="8" defaultColWidth="14.43" defaultRowHeight="15" customHeight="1"/>
  <cols>
    <col width="2" customWidth="1" style="48" min="1" max="1"/>
    <col width="56" customWidth="1" style="48" min="2" max="2"/>
    <col width="20" customWidth="1" style="48" min="3" max="3"/>
    <col width="12" customWidth="1" style="48" min="4" max="4"/>
    <col width="4" customWidth="1" style="48" min="5" max="5"/>
    <col width="8.710000000000001" customWidth="1" style="48" min="6" max="26"/>
  </cols>
  <sheetData>
    <row r="1">
      <c r="A1" s="49" t="n"/>
      <c r="B1" s="49" t="n"/>
      <c r="C1" s="49" t="n"/>
      <c r="D1" s="49" t="n"/>
      <c r="E1" s="49" t="n"/>
    </row>
    <row r="2" ht="21.75" customHeight="1" s="48">
      <c r="A2" s="49" t="n"/>
      <c r="B2" s="58" t="inlineStr">
        <is>
          <t>Pro-Forma Summary — Total Project Cost</t>
        </is>
      </c>
    </row>
    <row r="3">
      <c r="A3" s="49" t="n"/>
      <c r="B3" s="49" t="n"/>
      <c r="C3" s="49" t="n"/>
      <c r="D3" s="49" t="n"/>
      <c r="E3" s="49" t="n"/>
    </row>
    <row r="4">
      <c r="A4" s="49" t="n"/>
      <c r="B4" s="59" t="inlineStr">
        <is>
          <t>Cost Category</t>
        </is>
      </c>
      <c r="C4" s="59" t="inlineStr">
        <is>
          <t>Restated ($)</t>
        </is>
      </c>
      <c r="D4" s="59" t="inlineStr">
        <is>
          <t>% of TPC</t>
        </is>
      </c>
      <c r="E4" s="59" t="inlineStr">
        <is>
          <t>Source link</t>
        </is>
      </c>
    </row>
    <row r="5">
      <c r="A5" s="49" t="n"/>
      <c r="B5" s="55" t="inlineStr">
        <is>
          <t>HARD COSTS</t>
        </is>
      </c>
      <c r="C5" s="55" t="n"/>
      <c r="D5" s="55" t="n"/>
      <c r="E5" s="55" t="n"/>
    </row>
    <row r="6">
      <c r="A6" s="49" t="n"/>
      <c r="B6" s="60" t="inlineStr">
        <is>
          <t xml:space="preserve">  Construction hard costs (Hard_Costs tab)</t>
        </is>
      </c>
      <c r="C6" s="57">
        <f>Hard_Costs!D100</f>
        <v/>
      </c>
      <c r="D6" s="61">
        <f>IFERROR(C6/$C$30,0)</f>
        <v/>
      </c>
      <c r="E6" s="49" t="n"/>
    </row>
    <row r="7">
      <c r="A7" s="49" t="n"/>
      <c r="B7" s="62" t="inlineStr">
        <is>
          <t xml:space="preserve">  (HST on inputs handled via ITCs — see HST_Analysis tab)</t>
        </is>
      </c>
      <c r="C7" s="63" t="n">
        <v>0</v>
      </c>
      <c r="D7" s="61">
        <f>IFERROR(C7/$C$30,0)</f>
        <v/>
      </c>
      <c r="E7" s="49" t="n"/>
    </row>
    <row r="8">
      <c r="A8" s="49" t="n"/>
      <c r="B8" s="56" t="inlineStr">
        <is>
          <t xml:space="preserve">  HARD COST SUBTOTAL</t>
        </is>
      </c>
      <c r="C8" s="64">
        <f>SUM(C6:C7)</f>
        <v/>
      </c>
      <c r="D8" s="61">
        <f>IFERROR(C8/$C$30,0)</f>
        <v/>
      </c>
      <c r="E8" s="49" t="n"/>
    </row>
    <row r="9">
      <c r="A9" s="49" t="n"/>
      <c r="B9" s="55" t="inlineStr">
        <is>
          <t>SOFT COSTS</t>
        </is>
      </c>
      <c r="C9" s="55" t="n"/>
      <c r="D9" s="55" t="n"/>
      <c r="E9" s="55" t="n"/>
    </row>
    <row r="10">
      <c r="A10" s="49" t="n"/>
      <c r="B10" s="60" t="inlineStr">
        <is>
          <t xml:space="preserve">  Design / engineering / permits (Soft_Costs tab)</t>
        </is>
      </c>
      <c r="C10" s="57">
        <f>Soft_Costs!D44</f>
        <v/>
      </c>
      <c r="D10" s="61">
        <f>IFERROR(C10/$C$30,0)</f>
        <v/>
      </c>
      <c r="E10" s="49" t="n"/>
    </row>
    <row r="11">
      <c r="A11" s="49" t="n"/>
      <c r="B11" s="62" t="inlineStr">
        <is>
          <t xml:space="preserve">  (HST on inputs handled via ITCs — see HST_Analysis tab)</t>
        </is>
      </c>
      <c r="C11" s="63" t="n">
        <v>0</v>
      </c>
      <c r="D11" s="61">
        <f>IFERROR(C11/$C$30,0)</f>
        <v/>
      </c>
      <c r="E11" s="49" t="n"/>
    </row>
    <row r="12">
      <c r="A12" s="49" t="n"/>
      <c r="B12" s="56" t="inlineStr">
        <is>
          <t xml:space="preserve">  SOFT COST SUBTOTAL</t>
        </is>
      </c>
      <c r="C12" s="64">
        <f>SUM(C10:C11)</f>
        <v/>
      </c>
      <c r="D12" s="61">
        <f>IFERROR(C12/$C$30,0)</f>
        <v/>
      </c>
      <c r="E12" s="49" t="n"/>
    </row>
    <row r="13">
      <c r="A13" s="49" t="n"/>
      <c r="B13" s="55" t="inlineStr">
        <is>
          <t>LAND &amp; DEV CHARGES</t>
        </is>
      </c>
      <c r="C13" s="55" t="n"/>
      <c r="D13" s="55" t="n"/>
      <c r="E13" s="55" t="n"/>
    </row>
    <row r="14">
      <c r="A14" s="49" t="n"/>
      <c r="B14" s="60" t="inlineStr">
        <is>
          <t xml:space="preserve">  Land acquisition + LTT + title</t>
        </is>
      </c>
      <c r="C14" s="57">
        <f>SUM(Land_DevCharges!D5:D7)</f>
        <v/>
      </c>
      <c r="D14" s="61">
        <f>IFERROR(C14/$C$30,0)</f>
        <v/>
      </c>
      <c r="E14" s="49" t="n"/>
    </row>
    <row r="15">
      <c r="A15" s="49" t="n"/>
      <c r="B15" s="60" t="inlineStr">
        <is>
          <t xml:space="preserve">  Development charges + parkland + EDC</t>
        </is>
      </c>
      <c r="C15" s="57">
        <f>SUM(Land_DevCharges!D11:D13)</f>
        <v/>
      </c>
      <c r="D15" s="61">
        <f>IFERROR(C15/$C$30,0)</f>
        <v/>
      </c>
      <c r="E15" s="49" t="n"/>
    </row>
    <row r="16">
      <c r="A16" s="49" t="n"/>
      <c r="B16" s="56" t="inlineStr">
        <is>
          <t xml:space="preserve">  LAND &amp; DEV CHARGES SUBTOTAL</t>
        </is>
      </c>
      <c r="C16" s="64">
        <f>SUM(C14:C15)</f>
        <v/>
      </c>
      <c r="D16" s="61">
        <f>IFERROR(C16/$C$30,0)</f>
        <v/>
      </c>
      <c r="E16" s="49" t="n"/>
    </row>
    <row r="17">
      <c r="A17" s="49" t="n"/>
      <c r="B17" s="55" t="inlineStr">
        <is>
          <t>FINANCING</t>
        </is>
      </c>
      <c r="C17" s="55" t="n"/>
      <c r="D17" s="55" t="n"/>
      <c r="E17" s="55" t="n"/>
    </row>
    <row r="18">
      <c r="A18" s="49" t="n"/>
      <c r="B18" s="60" t="inlineStr">
        <is>
          <t xml:space="preserve">  Construction interest + commitment + admin + refi</t>
        </is>
      </c>
      <c r="C18" s="57">
        <f>Financing!C19</f>
        <v/>
      </c>
      <c r="D18" s="61">
        <f>IFERROR(C18/$C$30,0)</f>
        <v/>
      </c>
      <c r="E18" s="49" t="n"/>
    </row>
    <row r="19">
      <c r="A19" s="49" t="n"/>
      <c r="B19" s="60" t="inlineStr">
        <is>
          <t xml:space="preserve">  Builders' risk insurance (already in hard) — no double-count</t>
        </is>
      </c>
      <c r="C19" s="63" t="n">
        <v>0</v>
      </c>
      <c r="D19" s="61">
        <f>IFERROR(C19/$C$30,0)</f>
        <v/>
      </c>
      <c r="E19" s="49" t="n"/>
    </row>
    <row r="20">
      <c r="A20" s="49" t="n"/>
      <c r="B20" s="56" t="inlineStr">
        <is>
          <t xml:space="preserve">  FINANCING SUBTOTAL</t>
        </is>
      </c>
      <c r="C20" s="64">
        <f>SUM(C18:C19)</f>
        <v/>
      </c>
      <c r="D20" s="61">
        <f>IFERROR(C20/$C$30,0)</f>
        <v/>
      </c>
      <c r="E20" s="49" t="n"/>
    </row>
    <row r="21" ht="15.75" customHeight="1" s="48">
      <c r="A21" s="49" t="n"/>
      <c r="B21" s="55" t="inlineStr">
        <is>
          <t>MANAGEMENT &amp; SUPERVISION</t>
        </is>
      </c>
      <c r="C21" s="55" t="n"/>
      <c r="D21" s="55" t="n"/>
      <c r="E21" s="55" t="n"/>
    </row>
    <row r="22" ht="15.75" customHeight="1" s="48">
      <c r="A22" s="49" t="n"/>
      <c r="B22" s="60" t="inlineStr">
        <is>
          <t xml:space="preserve">  PM/PC fee on hard+soft</t>
        </is>
      </c>
      <c r="C22" s="57">
        <f>(C8+C12)*Assumptions!C62</f>
        <v/>
      </c>
      <c r="D22" s="61">
        <f>IFERROR(C22/$C$30,0)</f>
        <v/>
      </c>
      <c r="E22" s="49" t="n"/>
    </row>
    <row r="23" ht="15.75" customHeight="1" s="48">
      <c r="A23" s="49" t="n"/>
      <c r="B23" s="60" t="inlineStr">
        <is>
          <t xml:space="preserve">  Site supervision fee on hard+soft</t>
        </is>
      </c>
      <c r="C23" s="57">
        <f>(C8+C12)*Assumptions!C63</f>
        <v/>
      </c>
      <c r="D23" s="61">
        <f>IFERROR(C23/$C$30,0)</f>
        <v/>
      </c>
      <c r="E23" s="49" t="n"/>
    </row>
    <row r="24" ht="15.75" customHeight="1" s="48">
      <c r="A24" s="49" t="n"/>
      <c r="B24" s="56" t="inlineStr">
        <is>
          <t xml:space="preserve">  Corporate overhead allocation</t>
        </is>
      </c>
      <c r="C24" s="65">
        <f>(C8+C12)*Assumptions!C64</f>
        <v/>
      </c>
      <c r="D24" s="61">
        <f>IFERROR(C24/$C$30,0)</f>
        <v/>
      </c>
      <c r="E24" s="49" t="n"/>
    </row>
    <row r="25" ht="15.75" customHeight="1" s="48">
      <c r="A25" s="49" t="n"/>
      <c r="B25" s="55" t="inlineStr">
        <is>
          <t>CONTINGENCY</t>
        </is>
      </c>
      <c r="C25" s="55" t="n"/>
      <c r="D25" s="55" t="n"/>
      <c r="E25" s="55" t="n"/>
    </row>
    <row r="26" ht="15.75" customHeight="1" s="48">
      <c r="A26" s="49" t="n"/>
      <c r="B26" s="60" t="inlineStr">
        <is>
          <t xml:space="preserve">  Scope + escalation + soft + owner reserve</t>
        </is>
      </c>
      <c r="C26" s="57">
        <f>Contingencies!D11</f>
        <v/>
      </c>
      <c r="D26" s="61">
        <f>IFERROR(C26/$C$30,0)</f>
        <v/>
      </c>
      <c r="E26" s="49" t="n"/>
    </row>
    <row r="27" ht="15.75" customHeight="1" s="48">
      <c r="A27" s="49" t="n"/>
      <c r="B27" s="55" t="inlineStr">
        <is>
          <t>HST (SELF-SUPPLY, SELECTED SCENARIO)</t>
        </is>
      </c>
      <c r="C27" s="55" t="n"/>
      <c r="D27" s="55" t="n"/>
      <c r="E27" s="55" t="n"/>
    </row>
    <row r="28" ht="15.75" customHeight="1" s="48">
      <c r="A28" s="49" t="n"/>
      <c r="B28" s="66" t="inlineStr">
        <is>
          <t xml:space="preserve">  Net self-supply HST burden (Scenario from Assumptions!C60)</t>
        </is>
      </c>
      <c r="C28" s="57">
        <f>HST_Analysis!C33</f>
        <v/>
      </c>
      <c r="D28" s="61">
        <f>IFERROR(C28/$C$30,0)</f>
        <v/>
      </c>
      <c r="E28" s="49" t="n"/>
    </row>
    <row r="29" ht="15.75" customHeight="1" s="48">
      <c r="A29" s="49" t="n"/>
      <c r="B29" s="49" t="n"/>
      <c r="C29" s="49" t="n"/>
      <c r="D29" s="49" t="n"/>
      <c r="E29" s="49" t="n"/>
    </row>
    <row r="30" ht="15.75" customHeight="1" s="48">
      <c r="A30" s="49" t="n"/>
      <c r="B30" s="55" t="inlineStr">
        <is>
          <t>TOTAL PROJECT COST (TPC)</t>
        </is>
      </c>
      <c r="C30" s="67">
        <f>C8+C12+C16+C20+C22+C23+C24+C26+C28</f>
        <v/>
      </c>
      <c r="D30" s="68">
        <f>C30/C30</f>
        <v/>
      </c>
      <c r="E30" s="49" t="n"/>
    </row>
    <row r="31" ht="15.75" customHeight="1" s="48">
      <c r="A31" s="49" t="n"/>
      <c r="B31" s="49" t="n"/>
      <c r="C31" s="49" t="n"/>
      <c r="D31" s="49" t="n"/>
      <c r="E31" s="49" t="n"/>
    </row>
    <row r="32" ht="15.75" customHeight="1" s="48">
      <c r="A32" s="49" t="n"/>
      <c r="B32" s="69" t="inlineStr">
        <is>
          <t>Variance vs source ($4,008,500)</t>
        </is>
      </c>
      <c r="C32" s="70">
        <f>C30-4008500</f>
        <v/>
      </c>
      <c r="D32" s="71">
        <f>C32/4008500</f>
        <v/>
      </c>
      <c r="E32" s="49" t="n"/>
    </row>
    <row r="33" ht="15.75" customHeight="1" s="48">
      <c r="A33" s="49" t="n"/>
      <c r="B33" s="49" t="n"/>
      <c r="C33" s="49" t="n"/>
      <c r="D33" s="49" t="n"/>
      <c r="E33" s="49" t="n"/>
    </row>
    <row r="34" ht="15.75" customHeight="1" s="48">
      <c r="A34" s="49" t="n"/>
      <c r="B34" s="72" t="inlineStr">
        <is>
          <t>TPC per unit</t>
        </is>
      </c>
      <c r="C34" s="57">
        <f>C30/Assumptions!C7</f>
        <v/>
      </c>
      <c r="D34" s="49" t="n"/>
      <c r="E34" s="49" t="n"/>
    </row>
    <row r="35" ht="15.75" customHeight="1" s="48">
      <c r="A35" s="49" t="n"/>
      <c r="B35" s="72" t="inlineStr">
        <is>
          <t>TPC per sqft GBA</t>
        </is>
      </c>
      <c r="C35" s="57">
        <f>C30/Assumptions!C9</f>
        <v/>
      </c>
      <c r="D35" s="49" t="n"/>
      <c r="E35" s="49" t="n"/>
    </row>
    <row r="36" ht="15.75" customHeight="1" s="48">
      <c r="A36" s="49" t="n"/>
      <c r="B36" s="72" t="inlineStr">
        <is>
          <t>Hard cost per sqft GBA</t>
        </is>
      </c>
      <c r="C36" s="57">
        <f>C8/Assumptions!C9</f>
        <v/>
      </c>
      <c r="D36" s="49" t="n"/>
      <c r="E36" s="49" t="n"/>
    </row>
    <row r="37" ht="15.75" customHeight="1" s="48">
      <c r="A37" s="49" t="n"/>
      <c r="B37" s="72" t="inlineStr">
        <is>
          <t>Soft-to-hard ratio</t>
        </is>
      </c>
      <c r="C37" s="61">
        <f>C12/C8</f>
        <v/>
      </c>
      <c r="D37" s="49" t="n"/>
      <c r="E37" s="49" t="n"/>
    </row>
    <row r="38" ht="15.75" customHeight="1" s="48"/>
    <row r="39" ht="15.75" customHeight="1" s="48"/>
    <row r="40" ht="15.75" customHeight="1" s="48"/>
    <row r="41" ht="15.75" customHeight="1" s="48"/>
    <row r="42" ht="15.75" customHeight="1" s="48"/>
    <row r="43" ht="15.75" customHeight="1" s="48"/>
    <row r="44" ht="15.75" customHeight="1" s="48"/>
    <row r="45" ht="15.75" customHeight="1" s="48"/>
    <row r="46" ht="15.75" customHeight="1" s="48"/>
    <row r="47" ht="15.75" customHeight="1" s="48"/>
    <row r="48" ht="15.75" customHeight="1" s="48"/>
    <row r="49" ht="15.75" customHeight="1" s="48"/>
    <row r="50" ht="15.75" customHeight="1" s="48"/>
    <row r="51" ht="15.75" customHeight="1" s="48"/>
    <row r="52" ht="15.75" customHeight="1" s="48"/>
    <row r="53" ht="15.75" customHeight="1" s="48"/>
    <row r="54" ht="15.75" customHeight="1" s="48"/>
    <row r="55" ht="15.75" customHeight="1" s="48"/>
    <row r="56" ht="15.75" customHeight="1" s="48"/>
    <row r="57" ht="15.75" customHeight="1" s="48"/>
    <row r="58" ht="15.75" customHeight="1" s="48"/>
    <row r="59" ht="15.75" customHeight="1" s="48"/>
    <row r="60" ht="15.75" customHeight="1" s="48"/>
    <row r="61" ht="15.75" customHeight="1" s="48"/>
    <row r="62" ht="15.75" customHeight="1" s="48"/>
    <row r="63" ht="15.75" customHeight="1" s="48"/>
    <row r="64" ht="15.75" customHeight="1" s="48"/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1">
    <mergeCell ref="B2:E2"/>
  </mergeCells>
  <pageMargins left="0.4" right="0.4" top="0.5" bottom="0.5" header="0" footer="0"/>
  <pageSetup orientation="portrait" paperSize="9" fitToHeight="0" fitToWidth="1"/>
  <legacyDrawing xmlns:r="http://schemas.openxmlformats.org/officeDocument/2006/relationships" r:id="anysvml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E64"/>
  <sheetViews>
    <sheetView showGridLines="0" workbookViewId="0">
      <selection activeCell="A1" sqref="A1"/>
    </sheetView>
  </sheetViews>
  <sheetFormatPr baseColWidth="8" defaultColWidth="14.43" defaultRowHeight="15" customHeight="1"/>
  <cols>
    <col width="2" customWidth="1" style="48" min="1" max="1"/>
    <col width="60" customWidth="1" style="48" min="2" max="2"/>
    <col width="22" customWidth="1" style="48" min="3" max="3"/>
    <col width="4" customWidth="1" style="48" min="4" max="4"/>
    <col width="50" customWidth="1" style="48" min="5" max="5"/>
    <col width="8.710000000000001" customWidth="1" style="48" min="6" max="26"/>
  </cols>
  <sheetData>
    <row r="1">
      <c r="A1" s="49" t="n"/>
      <c r="B1" s="49" t="n"/>
      <c r="C1" s="49" t="n"/>
      <c r="D1" s="49" t="n"/>
      <c r="E1" s="49" t="n"/>
    </row>
    <row r="2" ht="21.75" customHeight="1" s="48">
      <c r="A2" s="49" t="n"/>
      <c r="B2" s="58" t="inlineStr">
        <is>
          <t>Assumptions — change the shaded input values; all other tabs recompute</t>
        </is>
      </c>
    </row>
    <row r="3">
      <c r="A3" s="49" t="n"/>
      <c r="B3" s="49" t="n"/>
      <c r="C3" s="49" t="n"/>
      <c r="D3" s="49" t="n"/>
      <c r="E3" s="49" t="n"/>
    </row>
    <row r="4">
      <c r="A4" s="49" t="n"/>
      <c r="B4" s="55" t="inlineStr">
        <is>
          <t>PROGRAM</t>
        </is>
      </c>
    </row>
    <row r="5">
      <c r="A5" s="49" t="n"/>
      <c r="B5" s="73" t="inlineStr">
        <is>
          <t>Number of buildings</t>
        </is>
      </c>
      <c r="C5" s="74" t="n">
        <v>2</v>
      </c>
      <c r="D5" s="49" t="n"/>
      <c r="E5" s="49" t="n"/>
    </row>
    <row r="6">
      <c r="A6" s="49" t="n"/>
      <c r="B6" s="73" t="inlineStr">
        <is>
          <t>Units per building</t>
        </is>
      </c>
      <c r="C6" s="74" t="n">
        <v>3</v>
      </c>
      <c r="D6" s="49" t="n"/>
      <c r="E6" s="49" t="n"/>
    </row>
    <row r="7">
      <c r="A7" s="49" t="n"/>
      <c r="B7" s="73" t="inlineStr">
        <is>
          <t>Total units</t>
        </is>
      </c>
      <c r="C7" s="75">
        <f>C5*C6</f>
        <v/>
      </c>
      <c r="D7" s="49" t="n"/>
      <c r="E7" s="49" t="n"/>
    </row>
    <row r="8">
      <c r="A8" s="49" t="n"/>
      <c r="B8" s="73" t="inlineStr">
        <is>
          <t>GBA per building (sqft)</t>
        </is>
      </c>
      <c r="C8" s="74" t="n">
        <v>2750</v>
      </c>
      <c r="D8" s="49" t="n"/>
      <c r="E8" s="49" t="n"/>
    </row>
    <row r="9">
      <c r="A9" s="49" t="n"/>
      <c r="B9" s="73" t="inlineStr">
        <is>
          <t>Total GBA (sqft)</t>
        </is>
      </c>
      <c r="C9" s="75">
        <f>C5*C8</f>
        <v/>
      </c>
      <c r="D9" s="49" t="n"/>
      <c r="E9" s="49" t="n"/>
    </row>
    <row r="10">
      <c r="A10" s="49" t="n"/>
      <c r="B10" s="73" t="inlineStr">
        <is>
          <t>Average unit size NSF (sqft)</t>
        </is>
      </c>
      <c r="C10" s="74" t="n">
        <v>800</v>
      </c>
      <c r="D10" s="49" t="n"/>
      <c r="E10" s="49" t="n"/>
    </row>
    <row r="11">
      <c r="A11" s="49" t="n"/>
      <c r="B11" s="49" t="n"/>
      <c r="C11" s="49" t="n"/>
      <c r="D11" s="49" t="n"/>
      <c r="E11" s="49" t="n"/>
    </row>
    <row r="12">
      <c r="A12" s="49" t="n"/>
      <c r="B12" s="55" t="inlineStr">
        <is>
          <t>MARKET COST RATES (Ottawa Q2 2026)</t>
        </is>
      </c>
    </row>
    <row r="13">
      <c r="A13" s="49" t="n"/>
      <c r="B13" s="73" t="inlineStr">
        <is>
          <t>Hard cost target $/sqft GBA</t>
        </is>
      </c>
      <c r="C13" s="63" t="n">
        <v>315</v>
      </c>
      <c r="D13" s="49" t="n"/>
      <c r="E13" s="49" t="n"/>
    </row>
    <row r="14">
      <c r="A14" s="49" t="n"/>
      <c r="B14" s="73" t="inlineStr">
        <is>
          <t>Soft cost loading factor (% of hard)</t>
        </is>
      </c>
      <c r="C14" s="71" t="n">
        <v>0.13</v>
      </c>
      <c r="D14" s="49" t="n"/>
      <c r="E14" s="49" t="n"/>
    </row>
    <row r="15">
      <c r="A15" s="49" t="n"/>
      <c r="B15" s="73" t="inlineStr">
        <is>
          <t>Scope contingency on hard costs</t>
        </is>
      </c>
      <c r="C15" s="71" t="n">
        <v>0.1</v>
      </c>
      <c r="D15" s="49" t="n"/>
      <c r="E15" s="49" t="n"/>
    </row>
    <row r="16">
      <c r="A16" s="49" t="n"/>
      <c r="B16" s="73" t="inlineStr">
        <is>
          <t>Escalation reserve (annualized)</t>
        </is>
      </c>
      <c r="C16" s="71" t="n">
        <v>0.04</v>
      </c>
      <c r="D16" s="49" t="n"/>
      <c r="E16" s="49" t="n"/>
    </row>
    <row r="17">
      <c r="A17" s="49" t="n"/>
      <c r="B17" s="73" t="inlineStr">
        <is>
          <t>Construction duration (months)</t>
        </is>
      </c>
      <c r="C17" s="74" t="n">
        <v>14</v>
      </c>
      <c r="D17" s="49" t="n"/>
      <c r="E17" s="49" t="n"/>
    </row>
    <row r="18">
      <c r="A18" s="49" t="n"/>
      <c r="B18" s="73" t="inlineStr">
        <is>
          <t>Owner reserve (% of hard+soft)</t>
        </is>
      </c>
      <c r="C18" s="71" t="n">
        <v>0.03</v>
      </c>
      <c r="D18" s="49" t="n"/>
      <c r="E18" s="49" t="n"/>
    </row>
    <row r="19">
      <c r="A19" s="49" t="n"/>
      <c r="B19" s="49" t="n"/>
      <c r="C19" s="49" t="n"/>
      <c r="D19" s="49" t="n"/>
      <c r="E19" s="49" t="n"/>
    </row>
    <row r="20">
      <c r="A20" s="49" t="n"/>
      <c r="B20" s="55" t="inlineStr">
        <is>
          <t>LAND &amp; ACQUISITION</t>
        </is>
      </c>
    </row>
    <row r="21" ht="15.75" customHeight="1" s="48">
      <c r="A21" s="49" t="n"/>
      <c r="B21" s="73" t="inlineStr">
        <is>
          <t>Land purchase price ($)</t>
        </is>
      </c>
      <c r="C21" s="63" t="n">
        <v>1070000</v>
      </c>
      <c r="D21" s="49" t="n"/>
      <c r="E21" s="49" t="n"/>
    </row>
    <row r="22" ht="15.75" customHeight="1" s="48">
      <c r="A22" s="49" t="n"/>
      <c r="B22" s="73" t="inlineStr">
        <is>
          <t>Land transfer tax (Ontario marginal)</t>
        </is>
      </c>
      <c r="C22" s="57">
        <f>C47</f>
        <v/>
      </c>
      <c r="D22" s="49" t="n"/>
      <c r="E22" s="49" t="n"/>
    </row>
    <row r="23" ht="15.75" customHeight="1" s="48">
      <c r="A23" s="49" t="n"/>
      <c r="B23" s="73" t="inlineStr">
        <is>
          <t>Legal — acquisition</t>
        </is>
      </c>
      <c r="C23" s="63" t="n">
        <v>4500</v>
      </c>
      <c r="D23" s="49" t="n"/>
      <c r="E23" s="49" t="n"/>
    </row>
    <row r="24" ht="15.75" customHeight="1" s="48">
      <c r="A24" s="49" t="n"/>
      <c r="B24" s="73" t="inlineStr">
        <is>
          <t>Severance legal carryover</t>
        </is>
      </c>
      <c r="C24" s="63" t="n">
        <v>4000</v>
      </c>
      <c r="D24" s="49" t="n"/>
      <c r="E24" s="49" t="n"/>
    </row>
    <row r="25" ht="15.75" customHeight="1" s="48">
      <c r="A25" s="49" t="n"/>
      <c r="B25" s="73" t="inlineStr">
        <is>
          <t>OLT legal / appeal</t>
        </is>
      </c>
      <c r="C25" s="63" t="n">
        <v>14900</v>
      </c>
      <c r="D25" s="49" t="n"/>
      <c r="E25" s="49" t="n"/>
    </row>
    <row r="26" ht="15.75" customHeight="1" s="48">
      <c r="A26" s="49" t="n"/>
      <c r="B26" s="73" t="inlineStr">
        <is>
          <t>Title insurance / disbursements</t>
        </is>
      </c>
      <c r="C26" s="63" t="n">
        <v>1800</v>
      </c>
      <c r="D26" s="49" t="n"/>
      <c r="E26" s="49" t="n"/>
    </row>
    <row r="27" ht="15.75" customHeight="1" s="48">
      <c r="A27" s="49" t="n"/>
      <c r="B27" s="49" t="n"/>
      <c r="C27" s="49" t="n"/>
      <c r="D27" s="49" t="n"/>
      <c r="E27" s="49" t="n"/>
    </row>
    <row r="28" ht="15.75" customHeight="1" s="48">
      <c r="A28" s="49" t="n"/>
      <c r="B28" s="55" t="inlineStr">
        <is>
          <t>MUNICIPAL FEES (City of Ottawa 2025 schedule)</t>
        </is>
      </c>
    </row>
    <row r="29" ht="15.75" customHeight="1" s="48">
      <c r="A29" s="49" t="n"/>
      <c r="B29" s="73" t="inlineStr">
        <is>
          <t>Building permit base + per-m² ($)</t>
        </is>
      </c>
      <c r="C29" s="57">
        <f>ROUND((C9*0.0929)*15.42+268,0)</f>
        <v/>
      </c>
      <c r="D29" s="49" t="n"/>
      <c r="E29" s="49" t="n"/>
    </row>
    <row r="30" ht="15.75" customHeight="1" s="48">
      <c r="A30" s="49" t="n"/>
      <c r="B30" s="73" t="inlineStr">
        <is>
          <t>7% admin surcharge on permit</t>
        </is>
      </c>
      <c r="C30" s="57">
        <f>ROUND(C29*0.07,0)</f>
        <v/>
      </c>
      <c r="D30" s="49" t="n"/>
      <c r="E30" s="49" t="n"/>
    </row>
    <row r="31" ht="15.75" customHeight="1" s="48">
      <c r="A31" s="49" t="n"/>
      <c r="B31" s="73" t="inlineStr">
        <is>
          <t>Plumbing &amp; drainage permit ($)</t>
        </is>
      </c>
      <c r="C31" s="63" t="n">
        <v>1400</v>
      </c>
      <c r="D31" s="49" t="n"/>
      <c r="E31" s="49" t="n"/>
    </row>
    <row r="32" ht="15.75" customHeight="1" s="48">
      <c r="A32" s="49" t="n"/>
      <c r="B32" s="73" t="inlineStr">
        <is>
          <t>HVAC / mechanical permit ($)</t>
        </is>
      </c>
      <c r="C32" s="63" t="n">
        <v>700</v>
      </c>
      <c r="D32" s="49" t="n"/>
      <c r="E32" s="49" t="n"/>
    </row>
    <row r="33" ht="15.75" customHeight="1" s="48">
      <c r="A33" s="49" t="n"/>
      <c r="B33" s="73" t="inlineStr">
        <is>
          <t>Zoning compliance / lot grading review ($)</t>
        </is>
      </c>
      <c r="C33" s="63" t="n">
        <v>1500</v>
      </c>
      <c r="D33" s="49" t="n"/>
      <c r="E33" s="49" t="n"/>
    </row>
    <row r="34" ht="15.75" customHeight="1" s="48">
      <c r="A34" s="49" t="n"/>
      <c r="B34" s="73" t="inlineStr">
        <is>
          <t>Demolition permit ($)</t>
        </is>
      </c>
      <c r="C34" s="63" t="n">
        <v>425</v>
      </c>
      <c r="D34" s="49" t="n"/>
      <c r="E34" s="49" t="n"/>
    </row>
    <row r="35" ht="15.75" customHeight="1" s="48">
      <c r="A35" s="49" t="n"/>
      <c r="B35" s="73" t="inlineStr">
        <is>
          <t>Road occupancy / encroachment ($)</t>
        </is>
      </c>
      <c r="C35" s="63" t="n">
        <v>3500</v>
      </c>
      <c r="D35" s="49" t="n"/>
      <c r="E35" s="49" t="n"/>
    </row>
    <row r="36" ht="15.75" customHeight="1" s="48">
      <c r="A36" s="49" t="n"/>
      <c r="B36" s="73" t="inlineStr">
        <is>
          <t>Water/sewer connection (per service)</t>
        </is>
      </c>
      <c r="C36" s="63" t="n">
        <v>5800</v>
      </c>
      <c r="D36" s="49" t="n"/>
      <c r="E36" s="49" t="n"/>
    </row>
    <row r="37" ht="15.75" customHeight="1" s="48">
      <c r="A37" s="49" t="n"/>
      <c r="B37" s="73" t="inlineStr">
        <is>
          <t>Hydro Ottawa connection</t>
        </is>
      </c>
      <c r="C37" s="63" t="n">
        <v>2500</v>
      </c>
      <c r="D37" s="49" t="n"/>
      <c r="E37" s="49" t="n"/>
    </row>
    <row r="38" ht="15.75" customHeight="1" s="48">
      <c r="A38" s="49" t="n"/>
      <c r="B38" s="73" t="inlineStr">
        <is>
          <t>Gas service activation (Enbridge)</t>
        </is>
      </c>
      <c r="C38" s="63" t="n">
        <v>800</v>
      </c>
      <c r="D38" s="49" t="n"/>
      <c r="E38" s="49" t="n"/>
    </row>
    <row r="39" ht="15.75" customHeight="1" s="48">
      <c r="A39" s="49" t="n"/>
      <c r="B39" s="49" t="n"/>
      <c r="C39" s="49" t="n"/>
      <c r="D39" s="49" t="n"/>
      <c r="E39" s="49" t="n"/>
    </row>
    <row r="40" ht="15.75" customHeight="1" s="48">
      <c r="A40" s="49" t="n"/>
      <c r="B40" s="55" t="inlineStr">
        <is>
          <t>DEVELOPMENT CHARGES (Ottawa 2026 schedule, after exemptions &amp; credits)</t>
        </is>
      </c>
    </row>
    <row r="41" ht="15.75" customHeight="1" s="48">
      <c r="A41" s="49" t="n"/>
      <c r="B41" s="73" t="inlineStr">
        <is>
          <t>Total City DC payable (net of credits &amp; ARU exemptions)</t>
        </is>
      </c>
      <c r="C41" s="63" t="n">
        <v>50000</v>
      </c>
      <c r="D41" s="49" t="n"/>
      <c r="E41" s="49" t="n"/>
    </row>
    <row r="42" ht="15.75" customHeight="1" s="48">
      <c r="A42" s="49" t="n"/>
      <c r="B42" s="73" t="inlineStr">
        <is>
          <t>CILP per dedicating dwelling (main dwelling only; ADUs exempt)</t>
        </is>
      </c>
      <c r="C42" s="63" t="n">
        <v>20000</v>
      </c>
      <c r="D42" s="49" t="n"/>
      <c r="E42" s="49" t="n"/>
    </row>
    <row r="43" ht="15.75" customHeight="1" s="48">
      <c r="A43" s="49" t="n"/>
      <c r="B43" s="73" t="inlineStr">
        <is>
          <t>OCDSB Education DC per unit</t>
        </is>
      </c>
      <c r="C43" s="63" t="n">
        <v>1373</v>
      </c>
      <c r="D43" s="49" t="n"/>
      <c r="E43" s="49" t="n"/>
    </row>
    <row r="44" ht="15.75" customHeight="1" s="48">
      <c r="A44" s="49" t="n"/>
      <c r="B44" s="73" t="inlineStr">
        <is>
          <t>OCCDSB Education DC per unit</t>
        </is>
      </c>
      <c r="C44" s="63" t="n">
        <v>0</v>
      </c>
      <c r="D44" s="49" t="n"/>
      <c r="E44" s="49" t="n"/>
    </row>
    <row r="45" ht="15.75" customHeight="1" s="48">
      <c r="A45" s="49" t="n"/>
      <c r="B45" s="49" t="n"/>
      <c r="C45" s="49" t="n"/>
      <c r="D45" s="49" t="n"/>
      <c r="E45" s="49" t="n"/>
    </row>
    <row r="46" ht="15.75" customHeight="1" s="48">
      <c r="A46" s="49" t="n"/>
      <c r="B46" s="55" t="inlineStr">
        <is>
          <t>INTERMEDIATE COMPUTATION — Ontario LTT</t>
        </is>
      </c>
    </row>
    <row r="47" ht="15.75" customHeight="1" s="48">
      <c r="A47" s="49" t="n"/>
      <c r="B47" s="73" t="inlineStr">
        <is>
          <t>Marginal LTT on $1.07M ($55k×.5% + $195k×1% + $150k×1.5% + balance×2%)</t>
        </is>
      </c>
      <c r="C47" s="57">
        <f>ROUND(MIN(C21,55000)*0.005 + MAX(0,MIN(C21,250000)-55000)*0.01 + MAX(0,MIN(C21,400000)-250000)*0.015 + MAX(0,C21-400000)*0.02,0)</f>
        <v/>
      </c>
      <c r="D47" s="49" t="n"/>
      <c r="E47" s="49" t="n"/>
    </row>
    <row r="48" ht="15.75" customHeight="1" s="48">
      <c r="A48" s="49" t="n"/>
      <c r="B48" s="49" t="n"/>
      <c r="C48" s="49" t="n"/>
      <c r="D48" s="49" t="n"/>
      <c r="E48" s="49" t="n"/>
    </row>
    <row r="49" ht="15.75" customHeight="1" s="48">
      <c r="A49" s="49" t="n"/>
      <c r="B49" s="55" t="inlineStr">
        <is>
          <t>FINANCING</t>
        </is>
      </c>
    </row>
    <row r="50" ht="15.75" customHeight="1" s="48">
      <c r="A50" s="49" t="n"/>
      <c r="B50" s="73" t="inlineStr">
        <is>
          <t>Construction loan rate (annualized)</t>
        </is>
      </c>
      <c r="C50" s="71" t="n">
        <v>0.0725</v>
      </c>
      <c r="D50" s="49" t="n"/>
      <c r="E50" s="49" t="n"/>
    </row>
    <row r="51" ht="15.75" customHeight="1" s="48">
      <c r="A51" s="49" t="n"/>
      <c r="B51" s="73" t="inlineStr">
        <is>
          <t>Average draw utilization (%)</t>
        </is>
      </c>
      <c r="C51" s="71" t="n">
        <v>0.55</v>
      </c>
      <c r="D51" s="49" t="n"/>
      <c r="E51" s="49" t="n"/>
    </row>
    <row r="52" ht="15.75" customHeight="1" s="48">
      <c r="A52" s="49" t="n"/>
      <c r="B52" s="73" t="inlineStr">
        <is>
          <t>Commitment fees (% of loan)</t>
        </is>
      </c>
      <c r="C52" s="71" t="n">
        <v>0.0075</v>
      </c>
      <c r="D52" s="49" t="n"/>
      <c r="E52" s="49" t="n"/>
    </row>
    <row r="53" ht="15.75" customHeight="1" s="48">
      <c r="A53" s="49" t="n"/>
      <c r="B53" s="73" t="inlineStr">
        <is>
          <t>Lender legal / appraisal / QS / inspections</t>
        </is>
      </c>
      <c r="C53" s="63" t="n">
        <v>18500</v>
      </c>
      <c r="D53" s="49" t="n"/>
      <c r="E53" s="49" t="n"/>
    </row>
    <row r="54" ht="15.75" customHeight="1" s="48">
      <c r="A54" s="49" t="n"/>
      <c r="B54" s="73" t="inlineStr">
        <is>
          <t>Post-construction refinance fee (% of takeout)</t>
        </is>
      </c>
      <c r="C54" s="71" t="n">
        <v>0.02</v>
      </c>
      <c r="D54" s="49" t="n"/>
      <c r="E54" s="49" t="n"/>
    </row>
    <row r="55" ht="15.75" customHeight="1" s="48">
      <c r="A55" s="49" t="n"/>
      <c r="B55" s="73" t="inlineStr">
        <is>
          <t>Construction loan size (max)</t>
        </is>
      </c>
      <c r="C55" s="57">
        <f>(Summary!C8+Summary!C12+Summary!C16)*0.85</f>
        <v/>
      </c>
      <c r="D55" s="49" t="n"/>
      <c r="E55" s="49" t="n"/>
    </row>
    <row r="56" ht="15.75" customHeight="1" s="48">
      <c r="A56" s="49" t="n"/>
      <c r="B56" s="49" t="n"/>
      <c r="C56" s="49" t="n"/>
      <c r="D56" s="49" t="n"/>
      <c r="E56" s="49" t="n"/>
    </row>
    <row r="57" ht="15.75" customHeight="1" s="48">
      <c r="A57" s="49" t="n"/>
      <c r="B57" s="55" t="inlineStr">
        <is>
          <t>HST / NRRP / PBRH</t>
        </is>
      </c>
    </row>
    <row r="58" ht="15.75" customHeight="1" s="48">
      <c r="A58" s="49" t="n"/>
      <c r="B58" s="73" t="inlineStr">
        <is>
          <t>HST rate (Ontario)</t>
        </is>
      </c>
      <c r="C58" s="71" t="n">
        <v>0.13</v>
      </c>
      <c r="D58" s="49" t="n"/>
      <c r="E58" s="49" t="n"/>
    </row>
    <row r="59" ht="15.75" customHeight="1" s="48">
      <c r="A59" s="49" t="n"/>
      <c r="B59" s="73" t="inlineStr">
        <is>
          <t>FMV per unit on substantial completion ($)</t>
        </is>
      </c>
      <c r="C59" s="63" t="n">
        <v>350000</v>
      </c>
      <c r="D59" s="49" t="n"/>
      <c r="E59" s="49" t="n"/>
    </row>
    <row r="60" ht="15.75" customHeight="1" s="48">
      <c r="A60" s="49" t="n"/>
      <c r="B60" s="73" t="inlineStr">
        <is>
          <t>HST scenario selector (A / B / C)</t>
        </is>
      </c>
      <c r="C60" s="76" t="inlineStr">
        <is>
          <t>A</t>
        </is>
      </c>
      <c r="D60" s="49" t="n"/>
      <c r="E60" s="49" t="n"/>
    </row>
    <row r="61" ht="15.75" customHeight="1" s="48">
      <c r="A61" s="49" t="n"/>
      <c r="B61" s="55" t="inlineStr">
        <is>
          <t>GENERAL</t>
        </is>
      </c>
    </row>
    <row r="62" ht="15.75" customHeight="1" s="48">
      <c r="A62" s="49" t="n"/>
      <c r="B62" s="73" t="inlineStr">
        <is>
          <t>PM/PC fee on hard+soft</t>
        </is>
      </c>
      <c r="C62" s="71" t="n">
        <v>0.04</v>
      </c>
      <c r="D62" s="49" t="n"/>
      <c r="E62" s="49" t="n"/>
    </row>
    <row r="63" ht="15.75" customHeight="1" s="48">
      <c r="A63" s="49" t="n"/>
      <c r="B63" s="73" t="inlineStr">
        <is>
          <t>Site supervision fee on hard+soft</t>
        </is>
      </c>
      <c r="C63" s="71" t="n">
        <v>0.04</v>
      </c>
      <c r="D63" s="49" t="n"/>
      <c r="E63" s="49" t="n"/>
    </row>
    <row r="64" ht="15.75" customHeight="1" s="48">
      <c r="A64" s="49" t="n"/>
      <c r="B64" s="73" t="inlineStr">
        <is>
          <t>Corporate overhead allocation</t>
        </is>
      </c>
      <c r="C64" s="71" t="n">
        <v>0.005</v>
      </c>
      <c r="D64" s="49" t="n"/>
      <c r="E64" s="49" t="n"/>
    </row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10">
    <mergeCell ref="B61:E61"/>
    <mergeCell ref="B40:E40"/>
    <mergeCell ref="B57:E57"/>
    <mergeCell ref="B49:E49"/>
    <mergeCell ref="B4:E4"/>
    <mergeCell ref="B12:E12"/>
    <mergeCell ref="B2:E2"/>
    <mergeCell ref="B20:E20"/>
    <mergeCell ref="B28:E28"/>
    <mergeCell ref="B46:E46"/>
  </mergeCells>
  <pageMargins left="0.4" right="0.4" top="0.5" bottom="0.5" header="0" footer="0"/>
  <pageSetup orientation="portrait" paperSize="9" fitToHeight="0" fitToWidth="1"/>
  <legacyDrawing xmlns:r="http://schemas.openxmlformats.org/officeDocument/2006/relationships" r:id="anysvml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B2:C29"/>
  <sheetViews>
    <sheetView showGridLines="0" workbookViewId="0">
      <selection activeCell="A1" sqref="A1"/>
    </sheetView>
  </sheetViews>
  <sheetFormatPr baseColWidth="8" defaultRowHeight="15"/>
  <cols>
    <col width="2" customWidth="1" style="48" min="1" max="1"/>
    <col width="34" customWidth="1" style="48" min="2" max="2"/>
    <col width="62" customWidth="1" style="48" min="3" max="3"/>
  </cols>
  <sheetData>
    <row r="2">
      <c r="B2" s="106" t="inlineStr">
        <is>
          <t>Planning &amp; Approvals</t>
        </is>
      </c>
    </row>
    <row r="3">
      <c r="B3" s="107" t="inlineStr">
        <is>
          <t>Land-use approval pathway secured for the development (anonymised).</t>
        </is>
      </c>
    </row>
    <row r="5" ht="22" customHeight="1" s="48">
      <c r="B5" s="94" t="inlineStr">
        <is>
          <t>APPROVAL OBTAINED</t>
        </is>
      </c>
      <c r="C5" s="95" t="n"/>
    </row>
    <row r="6" ht="45" customHeight="1" s="48">
      <c r="B6" s="108" t="inlineStr">
        <is>
          <t>Instruments</t>
        </is>
      </c>
      <c r="C6" s="105" t="inlineStr">
        <is>
          <t>Consent (severance) under s. 53 of the Planning Act, plus minor variances under s. 45 — to subdivide one corner lot into two parcels and permit two detached triplexes (six dwellings total).</t>
        </is>
      </c>
    </row>
    <row r="7" ht="45" customHeight="1" s="48">
      <c r="B7" s="108" t="inlineStr">
        <is>
          <t>Pathway</t>
        </is>
      </c>
      <c r="C7" s="105" t="inlineStr">
        <is>
          <t>Applications refused by the municipal Committee of Adjustment; refusal appealed to the Ontario Land Tribunal (OLT); appeal heard by video (August 2024); decision issued September 2024.</t>
        </is>
      </c>
    </row>
    <row r="8" ht="30" customHeight="1" s="48">
      <c r="B8" s="108" t="inlineStr">
        <is>
          <t>Outcome</t>
        </is>
      </c>
      <c r="C8" s="105" t="inlineStr">
        <is>
          <t>Appeal ALLOWED. Provisional consent granted and the zoning variances authorised, subject to nine conditions.</t>
        </is>
      </c>
    </row>
    <row r="9" ht="60" customHeight="1" s="48">
      <c r="B9" s="108" t="inlineStr">
        <is>
          <t>Variances authorised</t>
        </is>
      </c>
      <c r="C9" s="105" t="inlineStr">
        <is>
          <t>Reduced lot widths of approx. 16.3 m and 11.2 m (vs. an 18 m minimum), and a parking reduction from one space to zero on one lot — offset by a second space on the adjoining lot to preserve a mature tree and the 40% canopy requirement.</t>
        </is>
      </c>
    </row>
    <row r="11" ht="22" customHeight="1" s="48">
      <c r="B11" s="94" t="inlineStr">
        <is>
          <t>PLANNING RATIONALE</t>
        </is>
      </c>
      <c r="C11" s="95" t="n"/>
    </row>
    <row r="12" ht="30" customHeight="1" s="48">
      <c r="B12" s="108" t="inlineStr">
        <is>
          <t>Policy basis</t>
        </is>
      </c>
      <c r="C12" s="105" t="inlineStr">
        <is>
          <t>Found consistent with the Provincial Policy Statement (2020); conforms to the City Official Plan and the applicable secondary plan.</t>
        </is>
      </c>
    </row>
    <row r="13" ht="60" customHeight="1" s="48">
      <c r="B13" s="108" t="inlineStr">
        <is>
          <t>Intensification context</t>
        </is>
      </c>
      <c r="C13" s="105" t="inlineStr">
        <is>
          <t>Site within an Official Plan 'Evolving Neighbourhood Overlay' in the Outer Urban Transect, zoned first-density residential (permitting additional dwelling units) — a context the Plan identifies for transit-supportive infill.</t>
        </is>
      </c>
    </row>
    <row r="14" ht="60" customHeight="1" s="48">
      <c r="B14" s="108" t="inlineStr">
        <is>
          <t>Transit orientation</t>
        </is>
      </c>
      <c r="C14" s="105" t="inlineStr">
        <is>
          <t>Within roughly 400 m of a rapid-transit station and walking distance of a university campus; a second post-secondary campus is a short transit ride away. The development thesis is purpose-built student-oriented rental with low private-vehicle demand.</t>
        </is>
      </c>
    </row>
    <row r="15" ht="60" customHeight="1" s="48">
      <c r="B15" s="108" t="inlineStr">
        <is>
          <t>Four-test analysis</t>
        </is>
      </c>
      <c r="C15" s="105" t="inlineStr">
        <is>
          <t>The variances were found to maintain the general intent of the Official Plan and Zoning By-law, to be desirable and appropriate, and to be minor in nature; the consent met the applicable tests under ss. 51(24) and 53 of the Act.</t>
        </is>
      </c>
    </row>
    <row r="17" ht="22" customHeight="1" s="48">
      <c r="B17" s="94" t="inlineStr">
        <is>
          <t>CONDITIONS OF APPROVAL (NINE)</t>
        </is>
      </c>
      <c r="C17" s="95" t="n"/>
    </row>
    <row r="18" ht="30" customHeight="1" s="48">
      <c r="B18" s="109" t="inlineStr">
        <is>
          <t>Condition 1</t>
        </is>
      </c>
      <c r="C18" s="105" t="inlineStr">
        <is>
          <t>Cash-in-lieu of parkland dedication (municipal by-law, with appraisal).</t>
        </is>
      </c>
    </row>
    <row r="19" ht="30" customHeight="1" s="48">
      <c r="B19" s="109" t="inlineStr">
        <is>
          <t>Condition 2</t>
        </is>
      </c>
      <c r="C19" s="105" t="inlineStr">
        <is>
          <t>Tree-planting plan — one new tree per lot to enhance canopy and streetscape.</t>
        </is>
      </c>
    </row>
    <row r="20" ht="24" customHeight="1" s="48">
      <c r="B20" s="109" t="inlineStr">
        <is>
          <t>Condition 3</t>
        </is>
      </c>
      <c r="C20" s="105" t="inlineStr">
        <is>
          <t>Removal of the existing dwelling confirmed in writing.</t>
        </is>
      </c>
    </row>
    <row r="21" ht="30" customHeight="1" s="48">
      <c r="B21" s="109" t="inlineStr">
        <is>
          <t>Condition 4</t>
        </is>
      </c>
      <c r="C21" s="105" t="inlineStr">
        <is>
          <t>Independent water, sanitary and storm connections for each parcel, not crossing the severance line.</t>
        </is>
      </c>
    </row>
    <row r="22" ht="30" customHeight="1" s="48">
      <c r="B22" s="109" t="inlineStr">
        <is>
          <t>Condition 5</t>
        </is>
      </c>
      <c r="C22" s="105" t="inlineStr">
        <is>
          <t>Stormwater management brief by a licensed civil engineer (peak-flow control to the 100-year storm).</t>
        </is>
      </c>
    </row>
    <row r="23" ht="30" customHeight="1" s="48">
      <c r="B23" s="109" t="inlineStr">
        <is>
          <t>Condition 6</t>
        </is>
      </c>
      <c r="C23" s="105" t="inlineStr">
        <is>
          <t>Development agreement registered on title; environmental compliance approval if required.</t>
        </is>
      </c>
    </row>
    <row r="24" ht="24" customHeight="1" s="48">
      <c r="B24" s="109" t="inlineStr">
        <is>
          <t>Condition 7</t>
        </is>
      </c>
      <c r="C24" s="105" t="inlineStr">
        <is>
          <t>Grading and drainage plan for both severed and retained parcels.</t>
        </is>
      </c>
    </row>
    <row r="25" ht="24" customHeight="1" s="48">
      <c r="B25" s="109" t="inlineStr">
        <is>
          <t>Condition 8</t>
        </is>
      </c>
      <c r="C25" s="105" t="inlineStr">
        <is>
          <t>Conveyance of a 3 m × 3 m corner sight triangle to the municipality.</t>
        </is>
      </c>
    </row>
    <row r="26" ht="45" customHeight="1" s="48">
      <c r="B26" s="109" t="inlineStr">
        <is>
          <t>Condition 9</t>
        </is>
      </c>
      <c r="C26" s="105" t="inlineStr">
        <is>
          <t>Development agreement for an asphalt overlay if servicing requires three or more pavement cuts; plus a noise covenant for the adjacent arterial road.</t>
        </is>
      </c>
    </row>
    <row r="28" ht="40" customHeight="1" s="48">
      <c r="B28" s="105" t="inlineStr">
        <is>
          <t>Source: Ontario Land Tribunal decision and order (2024), anonymised. Parties, counsel, the presiding member, the address and all file numbers have been removed. The planning facts are reproduced for context; this is not legal advice.</t>
        </is>
      </c>
    </row>
    <row r="29"/>
  </sheetData>
  <mergeCells count="4">
    <mergeCell ref="B11:C11"/>
    <mergeCell ref="B28:C29"/>
    <mergeCell ref="B5:C5"/>
    <mergeCell ref="B17:C17"/>
  </mergeCells>
  <pageMargins left="0.4" right="0.4" top="0.5" bottom="0.5" header="0.5" footer="0.5"/>
  <pageSetup fitToHeight="0" fitToWidth="1"/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H10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baseColWidth="8" defaultColWidth="14.43" defaultRowHeight="15" customHeight="1"/>
  <cols>
    <col width="2" customWidth="1" style="48" min="1" max="1"/>
    <col width="52" customWidth="1" style="48" min="2" max="2"/>
    <col width="14" customWidth="1" style="48" min="3" max="5"/>
    <col width="11" customWidth="1" style="48" min="6" max="6"/>
    <col width="14" customWidth="1" style="48" min="7" max="7"/>
    <col width="52" customWidth="1" style="48" min="8" max="8"/>
    <col width="8.710000000000001" customWidth="1" style="48" min="9" max="26"/>
  </cols>
  <sheetData>
    <row r="1">
      <c r="A1" s="49" t="n"/>
      <c r="B1" s="49" t="n"/>
      <c r="C1" s="49" t="n"/>
      <c r="D1" s="49" t="n"/>
      <c r="E1" s="49" t="n"/>
      <c r="F1" s="49" t="n"/>
      <c r="G1" s="49" t="n"/>
      <c r="H1" s="49" t="n"/>
    </row>
    <row r="2" ht="21.75" customHeight="1" s="48">
      <c r="A2" s="49" t="n"/>
      <c r="B2" s="58" t="inlineStr">
        <is>
          <t>Hard Construction Costs — Restated against Ottawa Q2-2026 unit rates</t>
        </is>
      </c>
    </row>
    <row r="3" ht="30" customHeight="1" s="48">
      <c r="A3" s="49" t="n"/>
      <c r="B3" s="77" t="inlineStr">
        <is>
          <t>Cost Center</t>
        </is>
      </c>
      <c r="C3" s="77" t="inlineStr">
        <is>
          <t>Original ($)</t>
        </is>
      </c>
      <c r="D3" s="77" t="inlineStr">
        <is>
          <t>Restated ($)</t>
        </is>
      </c>
      <c r="E3" s="77" t="inlineStr">
        <is>
          <t>Variance ($)</t>
        </is>
      </c>
      <c r="F3" s="77" t="inlineStr">
        <is>
          <t>Variance %</t>
        </is>
      </c>
      <c r="G3" s="77" t="inlineStr">
        <is>
          <t>Unit Driver</t>
        </is>
      </c>
      <c r="H3" s="77" t="inlineStr">
        <is>
          <t>Basis / Source</t>
        </is>
      </c>
    </row>
    <row r="4">
      <c r="A4" s="49" t="n"/>
      <c r="B4" s="55" t="inlineStr">
        <is>
          <t>SITE PREP &amp; DEMOLITION</t>
        </is>
      </c>
      <c r="C4" s="55" t="n"/>
      <c r="D4" s="55" t="n"/>
      <c r="E4" s="55" t="n"/>
      <c r="F4" s="55" t="n"/>
      <c r="G4" s="55" t="n"/>
      <c r="H4" s="55" t="n"/>
    </row>
    <row r="5">
      <c r="A5" s="49" t="n"/>
      <c r="B5" s="60" t="inlineStr">
        <is>
          <t>Site prep, signage, fencing, hoarding</t>
        </is>
      </c>
      <c r="C5" s="63" t="n">
        <v>7500</v>
      </c>
      <c r="D5" s="63" t="n">
        <v>9500</v>
      </c>
      <c r="E5" s="57">
        <f>D5-C5</f>
        <v/>
      </c>
      <c r="F5" s="61">
        <f>IFERROR((D5-C5)/C5,0)</f>
        <v/>
      </c>
      <c r="G5" s="78" t="inlineStr">
        <is>
          <t>fixed</t>
        </is>
      </c>
      <c r="H5" s="66" t="inlineStr">
        <is>
          <t>Two-site fencing 14 mo. + 30A hoist power + temp toilets; AGC of Ontario 2025 rate sheet.</t>
        </is>
      </c>
    </row>
    <row r="6">
      <c r="A6" s="49" t="n"/>
      <c r="B6" s="73" t="inlineStr">
        <is>
          <t>House demolition</t>
        </is>
      </c>
      <c r="C6" s="63" t="n">
        <v>18500</v>
      </c>
      <c r="D6" s="63" t="n">
        <v>22500</v>
      </c>
      <c r="E6" s="57">
        <f>D6-C6</f>
        <v/>
      </c>
      <c r="F6" s="61">
        <f>IFERROR((D6-C6)/C6,0)</f>
        <v/>
      </c>
      <c r="G6" s="78" t="inlineStr">
        <is>
          <t>fixed</t>
        </is>
      </c>
      <c r="H6" s="66" t="inlineStr">
        <is>
          <t>Existing 2-storey + slab; +20% vs source given hazmat designated-substances survey now mandatory (O.Reg 278/05).</t>
        </is>
      </c>
    </row>
    <row r="7">
      <c r="A7" s="49" t="n"/>
      <c r="B7" s="60" t="inlineStr">
        <is>
          <t>Bush / vegetation clearing</t>
        </is>
      </c>
      <c r="C7" s="63" t="n">
        <v>700</v>
      </c>
      <c r="D7" s="63" t="n">
        <v>700</v>
      </c>
      <c r="E7" s="57">
        <f>D7-C7</f>
        <v/>
      </c>
      <c r="F7" s="61">
        <f>IFERROR((D7-C7)/C7,0)</f>
        <v/>
      </c>
      <c r="G7" s="78" t="inlineStr">
        <is>
          <t>fixed</t>
        </is>
      </c>
      <c r="H7" s="66" t="inlineStr">
        <is>
          <t>As per source.</t>
        </is>
      </c>
    </row>
    <row r="8">
      <c r="A8" s="49" t="n"/>
      <c r="B8" s="73" t="inlineStr">
        <is>
          <t>Shed demolition</t>
        </is>
      </c>
      <c r="C8" s="63" t="n">
        <v>500</v>
      </c>
      <c r="D8" s="63" t="n">
        <v>500</v>
      </c>
      <c r="E8" s="57">
        <f>D8-C8</f>
        <v/>
      </c>
      <c r="F8" s="61">
        <f>IFERROR((D8-C8)/C8,0)</f>
        <v/>
      </c>
      <c r="G8" s="78" t="inlineStr">
        <is>
          <t>fixed</t>
        </is>
      </c>
      <c r="H8" s="66" t="inlineStr">
        <is>
          <t>As per source.</t>
        </is>
      </c>
    </row>
    <row r="9">
      <c r="A9" s="49" t="n"/>
      <c r="B9" s="60" t="inlineStr">
        <is>
          <t>Demo cleanup / misc</t>
        </is>
      </c>
      <c r="C9" s="63" t="n">
        <v>2500</v>
      </c>
      <c r="D9" s="63" t="n">
        <v>3000</v>
      </c>
      <c r="E9" s="57">
        <f>D9-C9</f>
        <v/>
      </c>
      <c r="F9" s="61">
        <f>IFERROR((D9-C9)/C9,0)</f>
        <v/>
      </c>
      <c r="G9" s="78" t="inlineStr">
        <is>
          <t>fixed</t>
        </is>
      </c>
      <c r="H9" s="66" t="inlineStr">
        <is>
          <t>Modest uplift for two-building site coordination.</t>
        </is>
      </c>
    </row>
    <row r="10">
      <c r="A10" s="49" t="n"/>
      <c r="B10" s="73" t="inlineStr">
        <is>
          <t>Construction bins (14 mo.)</t>
        </is>
      </c>
      <c r="C10" s="63" t="n">
        <v>8400</v>
      </c>
      <c r="D10" s="63" t="n">
        <v>11200</v>
      </c>
      <c r="E10" s="57">
        <f>D10-C10</f>
        <v/>
      </c>
      <c r="F10" s="61">
        <f>IFERROR((D10-C10)/C10,0)</f>
        <v/>
      </c>
      <c r="G10" s="78" t="inlineStr">
        <is>
          <t>fixed</t>
        </is>
      </c>
      <c r="H10" s="66" t="inlineStr">
        <is>
          <t>Tomlinson 2026 rate: $800/swap × 14 swaps over 14-mo build.</t>
        </is>
      </c>
    </row>
    <row r="11">
      <c r="A11" s="49" t="n"/>
      <c r="B11" s="60" t="inlineStr">
        <is>
          <t>Designated Substances Survey + abatement allowance</t>
        </is>
      </c>
      <c r="C11" s="63" t="n">
        <v>0</v>
      </c>
      <c r="D11" s="63" t="n">
        <v>4500</v>
      </c>
      <c r="E11" s="57">
        <f>D11-C11</f>
        <v/>
      </c>
      <c r="F11" s="61">
        <f>IFERROR((D11-C11)/C11,0)</f>
        <v/>
      </c>
      <c r="G11" s="78" t="inlineStr">
        <is>
          <t>fixed</t>
        </is>
      </c>
      <c r="H11" s="66" t="inlineStr">
        <is>
          <t>REQUIRED under O.Reg 278/05 prior to demolition — missing from source.</t>
        </is>
      </c>
    </row>
    <row r="12">
      <c r="A12" s="49" t="n"/>
      <c r="B12" s="73" t="inlineStr">
        <is>
          <t>Excavation, backfill, trenching, dewatering</t>
        </is>
      </c>
      <c r="C12" s="63" t="n">
        <v>97350</v>
      </c>
      <c r="D12" s="63" t="n">
        <v>105000</v>
      </c>
      <c r="E12" s="57">
        <f>D12-C12</f>
        <v/>
      </c>
      <c r="F12" s="61">
        <f>IFERROR((D12-C12)/C12,0)</f>
        <v/>
      </c>
      <c r="G12" s="78" t="inlineStr">
        <is>
          <t>fixed</t>
        </is>
      </c>
      <c r="H12" s="66" t="inlineStr">
        <is>
          <t>+8% for dewatering allowance (high water-table risk per geotechnical report).</t>
        </is>
      </c>
    </row>
    <row r="13">
      <c r="A13" s="49" t="n"/>
      <c r="B13" s="60" t="inlineStr">
        <is>
          <t>Soil testing — foundation bearing</t>
        </is>
      </c>
      <c r="C13" s="63" t="n">
        <v>1000</v>
      </c>
      <c r="D13" s="63" t="n">
        <v>1500</v>
      </c>
      <c r="E13" s="57">
        <f>D13-C13</f>
        <v/>
      </c>
      <c r="F13" s="61">
        <f>IFERROR((D13-C13)/C13,0)</f>
        <v/>
      </c>
      <c r="G13" s="78" t="inlineStr">
        <is>
          <t>fixed</t>
        </is>
      </c>
      <c r="H13" s="66" t="inlineStr">
        <is>
          <t>Two footprints, two test sets.</t>
        </is>
      </c>
    </row>
    <row r="14">
      <c r="A14" s="49" t="n"/>
      <c r="B14" s="56" t="inlineStr">
        <is>
          <t xml:space="preserve">  Subtotal — SITE PREP &amp; DEMOLITION</t>
        </is>
      </c>
      <c r="C14" s="64">
        <f>SUM(C5:C13)</f>
        <v/>
      </c>
      <c r="D14" s="64">
        <f>SUM(D5:D13)</f>
        <v/>
      </c>
      <c r="E14" s="64">
        <f>D14-C14</f>
        <v/>
      </c>
      <c r="F14" s="79">
        <f>IFERROR(E14/C14,0)</f>
        <v/>
      </c>
      <c r="G14" s="49" t="n"/>
      <c r="H14" s="49" t="n"/>
    </row>
    <row r="15">
      <c r="A15" s="49" t="n"/>
      <c r="B15" s="49" t="n"/>
      <c r="C15" s="49" t="n"/>
      <c r="D15" s="49" t="n"/>
      <c r="E15" s="49" t="n"/>
      <c r="F15" s="49" t="n"/>
      <c r="G15" s="49" t="n"/>
      <c r="H15" s="49" t="n"/>
    </row>
    <row r="16">
      <c r="A16" s="49" t="n"/>
      <c r="B16" s="55" t="inlineStr">
        <is>
          <t>STRUCTURE &amp; ENVELOPE</t>
        </is>
      </c>
      <c r="C16" s="55" t="n"/>
      <c r="D16" s="55" t="n"/>
      <c r="E16" s="55" t="n"/>
      <c r="F16" s="55" t="n"/>
      <c r="G16" s="55" t="n"/>
      <c r="H16" s="55" t="n"/>
    </row>
    <row r="17">
      <c r="A17" s="49" t="n"/>
      <c r="B17" s="60" t="inlineStr">
        <is>
          <t>Foundation (concrete + waterproofing)</t>
        </is>
      </c>
      <c r="C17" s="63" t="n">
        <v>80000</v>
      </c>
      <c r="D17" s="63" t="n">
        <v>88000</v>
      </c>
      <c r="E17" s="57">
        <f>D17-C17</f>
        <v/>
      </c>
      <c r="F17" s="61">
        <f>IFERROR((D17-C17)/C17,0)</f>
        <v/>
      </c>
      <c r="G17" s="78" t="inlineStr">
        <is>
          <t>$/sqft footprint</t>
        </is>
      </c>
      <c r="H17" s="66" t="inlineStr">
        <is>
          <t>$48/sqft of footprint × ~1,830 sqft; +10% for hydrostatic damp-proofing required by OBC 9.13.3.3.</t>
        </is>
      </c>
    </row>
    <row r="18">
      <c r="A18" s="49" t="n"/>
      <c r="B18" s="73" t="inlineStr">
        <is>
          <t>Framing labour</t>
        </is>
      </c>
      <c r="C18" s="63" t="n">
        <v>51500</v>
      </c>
      <c r="D18" s="63" t="n">
        <v>62000</v>
      </c>
      <c r="E18" s="57">
        <f>D18-C18</f>
        <v/>
      </c>
      <c r="F18" s="61">
        <f>IFERROR((D18-C18)/C18,0)</f>
        <v/>
      </c>
      <c r="G18" s="78" t="inlineStr">
        <is>
          <t>$/sqft GBA</t>
        </is>
      </c>
      <c r="H18" s="66" t="inlineStr">
        <is>
          <t>$11.25/sqft GBA × 5,500 sqft. Source under-prices labour vs Ottawa carpentry COLA 2025 (+8.7% YoY, ICI Settlements Bulletin).</t>
        </is>
      </c>
    </row>
    <row r="19">
      <c r="A19" s="49" t="n"/>
      <c r="B19" s="60" t="inlineStr">
        <is>
          <t>Framing material (incl trusses &amp; engineered I-joists)</t>
        </is>
      </c>
      <c r="C19" s="63" t="n">
        <v>138000</v>
      </c>
      <c r="D19" s="63" t="n">
        <v>152000</v>
      </c>
      <c r="E19" s="57">
        <f>D19-C19</f>
        <v/>
      </c>
      <c r="F19" s="61">
        <f>IFERROR((D19-C19)/C19,0)</f>
        <v/>
      </c>
      <c r="G19" s="78" t="inlineStr">
        <is>
          <t>$/sqft GBA</t>
        </is>
      </c>
      <c r="H19" s="66" t="inlineStr">
        <is>
          <t>$27.6/sqft. Random Lengths Composite Index Q2-2026 ~+10% vs 2025.</t>
        </is>
      </c>
    </row>
    <row r="20">
      <c r="A20" s="49" t="n"/>
      <c r="B20" s="73" t="inlineStr">
        <is>
          <t>Staircases (manufactured)</t>
        </is>
      </c>
      <c r="C20" s="63" t="n">
        <v>15000</v>
      </c>
      <c r="D20" s="63" t="n">
        <v>16500</v>
      </c>
      <c r="E20" s="57">
        <f>D20-C20</f>
        <v/>
      </c>
      <c r="F20" s="61">
        <f>IFERROR((D20-C20)/C20,0)</f>
        <v/>
      </c>
      <c r="G20" s="78" t="inlineStr">
        <is>
          <t>per stair</t>
        </is>
      </c>
      <c r="H20" s="66" t="inlineStr">
        <is>
          <t>$2,750 × 6 stair runs (one per unit if stacked townhouse layout).</t>
        </is>
      </c>
    </row>
    <row r="21" ht="15.75" customHeight="1" s="48">
      <c r="A21" s="49" t="n"/>
      <c r="B21" s="60" t="inlineStr">
        <is>
          <t>Roofing (asphalt shingle + ice/water)</t>
        </is>
      </c>
      <c r="C21" s="63" t="n">
        <v>36000</v>
      </c>
      <c r="D21" s="63" t="n">
        <v>39000</v>
      </c>
      <c r="E21" s="57">
        <f>D21-C21</f>
        <v/>
      </c>
      <c r="F21" s="61">
        <f>IFERROR((D21-C21)/C21,0)</f>
        <v/>
      </c>
      <c r="G21" s="78" t="inlineStr">
        <is>
          <t>$/sqft roof</t>
        </is>
      </c>
      <c r="H21" s="66" t="inlineStr">
        <is>
          <t>$13/sqft × ~3,000 sqft roof area (steeper pitch &amp; longer eaves typical of multiplex).</t>
        </is>
      </c>
    </row>
    <row r="22" ht="15.75" customHeight="1" s="48">
      <c r="A22" s="49" t="n"/>
      <c r="B22" s="73" t="inlineStr">
        <is>
          <t>Eavestroughs + downspouts + storm tie-in</t>
        </is>
      </c>
      <c r="C22" s="63" t="n">
        <v>7000</v>
      </c>
      <c r="D22" s="63" t="n">
        <v>8500</v>
      </c>
      <c r="E22" s="57">
        <f>D22-C22</f>
        <v/>
      </c>
      <c r="F22" s="61">
        <f>IFERROR((D22-C22)/C22,0)</f>
        <v/>
      </c>
      <c r="G22" s="78" t="inlineStr">
        <is>
          <t>fixed</t>
        </is>
      </c>
      <c r="H22" s="66" t="inlineStr">
        <is>
          <t>Storm tie-in to municipal lead at curb — source under-estimated.</t>
        </is>
      </c>
    </row>
    <row r="23" ht="15.75" customHeight="1" s="48">
      <c r="A23" s="49" t="n"/>
      <c r="B23" s="60" t="inlineStr">
        <is>
          <t>Windows (triple-glazed, Argon, U≤1.05)</t>
        </is>
      </c>
      <c r="C23" s="63" t="n">
        <v>82800</v>
      </c>
      <c r="D23" s="63" t="n">
        <v>96000</v>
      </c>
      <c r="E23" s="57">
        <f>D23-C23</f>
        <v/>
      </c>
      <c r="F23" s="61">
        <f>IFERROR((D23-C23)/C23,0)</f>
        <v/>
      </c>
      <c r="G23" s="78" t="inlineStr">
        <is>
          <t>per unit</t>
        </is>
      </c>
      <c r="H23" s="66" t="inlineStr">
        <is>
          <t>MLI Select envelope requires U≤1.05 — premium window upgrade adds ~16%.</t>
        </is>
      </c>
    </row>
    <row r="24" ht="15.75" customHeight="1" s="48">
      <c r="A24" s="49" t="n"/>
      <c r="B24" s="73" t="inlineStr">
        <is>
          <t>Exterior doors (insulated steel + sidelights)</t>
        </is>
      </c>
      <c r="C24" s="63" t="n">
        <v>12000</v>
      </c>
      <c r="D24" s="63" t="n">
        <v>13000</v>
      </c>
      <c r="E24" s="57">
        <f>D24-C24</f>
        <v/>
      </c>
      <c r="F24" s="61">
        <f>IFERROR((D24-C24)/C24,0)</f>
        <v/>
      </c>
      <c r="G24" s="78" t="inlineStr">
        <is>
          <t>per door</t>
        </is>
      </c>
      <c r="H24" s="66" t="n"/>
    </row>
    <row r="25" ht="15.75" customHeight="1" s="48">
      <c r="A25" s="49" t="n"/>
      <c r="B25" s="60" t="inlineStr">
        <is>
          <t>Siding system (Hardie panel + soffit + fascia)</t>
        </is>
      </c>
      <c r="C25" s="63" t="n">
        <v>125000</v>
      </c>
      <c r="D25" s="63" t="n">
        <v>140000</v>
      </c>
      <c r="E25" s="57">
        <f>D25-C25</f>
        <v/>
      </c>
      <c r="F25" s="61">
        <f>IFERROR((D25-C25)/C25,0)</f>
        <v/>
      </c>
      <c r="G25" s="78" t="inlineStr">
        <is>
          <t>$/sqft wall</t>
        </is>
      </c>
      <c r="H25" s="66" t="inlineStr">
        <is>
          <t>$24/sqft wall × ~5,800 sqft wall area; James Hardie 2026 distributor price list.</t>
        </is>
      </c>
    </row>
    <row r="26" ht="15.75" customHeight="1" s="48">
      <c r="A26" s="49" t="n"/>
      <c r="B26" s="73" t="inlineStr">
        <is>
          <t>Parging + foundation coating</t>
        </is>
      </c>
      <c r="C26" s="63" t="n">
        <v>7800</v>
      </c>
      <c r="D26" s="63" t="n">
        <v>8500</v>
      </c>
      <c r="E26" s="57">
        <f>D26-C26</f>
        <v/>
      </c>
      <c r="F26" s="61">
        <f>IFERROR((D26-C26)/C26,0)</f>
        <v/>
      </c>
      <c r="G26" s="78" t="inlineStr">
        <is>
          <t>fixed</t>
        </is>
      </c>
      <c r="H26" s="66" t="n"/>
    </row>
    <row r="27" ht="15.75" customHeight="1" s="48">
      <c r="A27" s="49" t="n"/>
      <c r="B27" s="56" t="inlineStr">
        <is>
          <t xml:space="preserve">  Subtotal — STRUCTURE &amp; ENVELOPE</t>
        </is>
      </c>
      <c r="C27" s="64">
        <f>SUM(C17:C26)</f>
        <v/>
      </c>
      <c r="D27" s="64">
        <f>SUM(D17:D26)</f>
        <v/>
      </c>
      <c r="E27" s="64">
        <f>D27-C27</f>
        <v/>
      </c>
      <c r="F27" s="79">
        <f>IFERROR(E27/C27,0)</f>
        <v/>
      </c>
      <c r="G27" s="49" t="n"/>
      <c r="H27" s="49" t="n"/>
    </row>
    <row r="28" ht="15.75" customHeight="1" s="48">
      <c r="A28" s="49" t="n"/>
      <c r="B28" s="49" t="n"/>
      <c r="C28" s="49" t="n"/>
      <c r="D28" s="49" t="n"/>
      <c r="E28" s="49" t="n"/>
      <c r="F28" s="49" t="n"/>
      <c r="G28" s="49" t="n"/>
      <c r="H28" s="49" t="n"/>
    </row>
    <row r="29" ht="15.75" customHeight="1" s="48">
      <c r="A29" s="49" t="n"/>
      <c r="B29" s="55" t="inlineStr">
        <is>
          <t>MECHANICAL / ELECTRICAL / PLUMBING</t>
        </is>
      </c>
      <c r="C29" s="55" t="n"/>
      <c r="D29" s="55" t="n"/>
      <c r="E29" s="55" t="n"/>
      <c r="F29" s="55" t="n"/>
      <c r="G29" s="55" t="n"/>
      <c r="H29" s="55" t="n"/>
    </row>
    <row r="30" ht="15.75" customHeight="1" s="48">
      <c r="A30" s="49" t="n"/>
      <c r="B30" s="73" t="inlineStr">
        <is>
          <t>HVAC equipment + ducting (gas-fired or HP)</t>
        </is>
      </c>
      <c r="C30" s="63" t="n">
        <v>54000</v>
      </c>
      <c r="D30" s="63" t="n">
        <v>60000</v>
      </c>
      <c r="E30" s="57">
        <f>D30-C30</f>
        <v/>
      </c>
      <c r="F30" s="61">
        <f>IFERROR((D30-C30)/C30,0)</f>
        <v/>
      </c>
      <c r="G30" s="78" t="inlineStr">
        <is>
          <t>per unit</t>
        </is>
      </c>
      <c r="H30" s="66" t="inlineStr">
        <is>
          <t>$10K/unit × 6 = MLI Select compliant; consider air-source heat pump premium $+2K/unit.</t>
        </is>
      </c>
    </row>
    <row r="31" ht="15.75" customHeight="1" s="48">
      <c r="A31" s="49" t="n"/>
      <c r="B31" s="60" t="inlineStr">
        <is>
          <t>HRV (mandatory under SB-12 / MLI Select)</t>
        </is>
      </c>
      <c r="C31" s="63" t="n">
        <v>21000</v>
      </c>
      <c r="D31" s="63" t="n">
        <v>22500</v>
      </c>
      <c r="E31" s="57">
        <f>D31-C31</f>
        <v/>
      </c>
      <c r="F31" s="61">
        <f>IFERROR((D31-C31)/C31,0)</f>
        <v/>
      </c>
      <c r="G31" s="78" t="inlineStr">
        <is>
          <t>per unit</t>
        </is>
      </c>
      <c r="H31" s="66" t="n"/>
    </row>
    <row r="32" ht="15.75" customHeight="1" s="48">
      <c r="A32" s="49" t="n"/>
      <c r="B32" s="73" t="inlineStr">
        <is>
          <t>HVAC misc / commissioning</t>
        </is>
      </c>
      <c r="C32" s="63" t="n">
        <v>6500</v>
      </c>
      <c r="D32" s="63" t="n">
        <v>8000</v>
      </c>
      <c r="E32" s="57">
        <f>D32-C32</f>
        <v/>
      </c>
      <c r="F32" s="61">
        <f>IFERROR((D32-C32)/C32,0)</f>
        <v/>
      </c>
      <c r="G32" s="78" t="inlineStr">
        <is>
          <t>fixed</t>
        </is>
      </c>
      <c r="H32" s="66" t="inlineStr">
        <is>
          <t>NRCAN H2K commissioning + EnerGuide blower-door test (mandatory for MLI Select Tier-2 rebate).</t>
        </is>
      </c>
    </row>
    <row r="33" ht="15.75" customHeight="1" s="48">
      <c r="A33" s="49" t="n"/>
      <c r="B33" s="60" t="inlineStr">
        <is>
          <t>Plumbing rough-in labour</t>
        </is>
      </c>
      <c r="C33" s="63" t="n">
        <v>60000</v>
      </c>
      <c r="D33" s="63" t="n">
        <v>66000</v>
      </c>
      <c r="E33" s="57">
        <f>D33-C33</f>
        <v/>
      </c>
      <c r="F33" s="61">
        <f>IFERROR((D33-C33)/C33,0)</f>
        <v/>
      </c>
      <c r="G33" s="78" t="inlineStr">
        <is>
          <t>per fixture</t>
        </is>
      </c>
      <c r="H33" s="66" t="inlineStr">
        <is>
          <t>$1,200/fixture × ~55 fixtures (kitchen, 2 bath per unit avg).</t>
        </is>
      </c>
    </row>
    <row r="34" ht="15.75" customHeight="1" s="48">
      <c r="A34" s="49" t="n"/>
      <c r="B34" s="73" t="inlineStr">
        <is>
          <t>Plumbing service &amp; main</t>
        </is>
      </c>
      <c r="C34" s="63" t="n">
        <v>18000</v>
      </c>
      <c r="D34" s="63" t="n">
        <v>20000</v>
      </c>
      <c r="E34" s="57">
        <f>D34-C34</f>
        <v/>
      </c>
      <c r="F34" s="61">
        <f>IFERROR((D34-C34)/C34,0)</f>
        <v/>
      </c>
      <c r="G34" s="78" t="inlineStr">
        <is>
          <t>fixed</t>
        </is>
      </c>
      <c r="H34" s="66" t="n"/>
    </row>
    <row r="35" ht="15.75" customHeight="1" s="48">
      <c r="A35" s="49" t="n"/>
      <c r="B35" s="60" t="inlineStr">
        <is>
          <t>Plumbing fixtures (mid-grade)</t>
        </is>
      </c>
      <c r="C35" s="63" t="n">
        <v>16500</v>
      </c>
      <c r="D35" s="63" t="n">
        <v>18000</v>
      </c>
      <c r="E35" s="57">
        <f>D35-C35</f>
        <v/>
      </c>
      <c r="F35" s="61">
        <f>IFERROR((D35-C35)/C35,0)</f>
        <v/>
      </c>
      <c r="G35" s="78" t="inlineStr">
        <is>
          <t>per unit</t>
        </is>
      </c>
      <c r="H35" s="66" t="n"/>
    </row>
    <row r="36" ht="15.75" customHeight="1" s="48">
      <c r="A36" s="49" t="n"/>
      <c r="B36" s="73" t="inlineStr">
        <is>
          <t>Irrigation contractor</t>
        </is>
      </c>
      <c r="C36" s="63" t="n">
        <v>7500</v>
      </c>
      <c r="D36" s="63" t="n">
        <v>7500</v>
      </c>
      <c r="E36" s="57">
        <f>D36-C36</f>
        <v/>
      </c>
      <c r="F36" s="61">
        <f>IFERROR((D36-C36)/C36,0)</f>
        <v/>
      </c>
      <c r="G36" s="78" t="inlineStr">
        <is>
          <t>fixed</t>
        </is>
      </c>
      <c r="H36" s="66" t="inlineStr">
        <is>
          <t>Optional — flag for value engineering.</t>
        </is>
      </c>
    </row>
    <row r="37" ht="15.75" customHeight="1" s="48">
      <c r="A37" s="49" t="n"/>
      <c r="B37" s="60" t="inlineStr">
        <is>
          <t>Electrical general contractor</t>
        </is>
      </c>
      <c r="C37" s="63" t="n">
        <v>66000</v>
      </c>
      <c r="D37" s="63" t="n">
        <v>72000</v>
      </c>
      <c r="E37" s="57">
        <f>D37-C37</f>
        <v/>
      </c>
      <c r="F37" s="61">
        <f>IFERROR((D37-C37)/C37,0)</f>
        <v/>
      </c>
      <c r="G37" s="78" t="inlineStr">
        <is>
          <t>per unit</t>
        </is>
      </c>
      <c r="H37" s="66" t="inlineStr">
        <is>
          <t>$12K/unit; ESA 2025 inspection fees included.</t>
        </is>
      </c>
    </row>
    <row r="38" ht="15.75" customHeight="1" s="48">
      <c r="A38" s="49" t="n"/>
      <c r="B38" s="73" t="inlineStr">
        <is>
          <t>Electrical fixtures</t>
        </is>
      </c>
      <c r="C38" s="63" t="n">
        <v>7200</v>
      </c>
      <c r="D38" s="63" t="n">
        <v>8400</v>
      </c>
      <c r="E38" s="57">
        <f>D38-C38</f>
        <v/>
      </c>
      <c r="F38" s="61">
        <f>IFERROR((D38-C38)/C38,0)</f>
        <v/>
      </c>
      <c r="G38" s="78" t="inlineStr">
        <is>
          <t>per unit</t>
        </is>
      </c>
      <c r="H38" s="66" t="n"/>
    </row>
    <row r="39" ht="15.75" customHeight="1" s="48">
      <c r="A39" s="49" t="n"/>
      <c r="B39" s="60" t="inlineStr">
        <is>
          <t>Electrical service entry &amp; meter base</t>
        </is>
      </c>
      <c r="C39" s="63" t="n">
        <v>25000</v>
      </c>
      <c r="D39" s="63" t="n">
        <v>28000</v>
      </c>
      <c r="E39" s="57">
        <f>D39-C39</f>
        <v/>
      </c>
      <c r="F39" s="61">
        <f>IFERROR((D39-C39)/C39,0)</f>
        <v/>
      </c>
      <c r="G39" s="78" t="inlineStr">
        <is>
          <t>fixed</t>
        </is>
      </c>
      <c r="H39" s="66" t="inlineStr">
        <is>
          <t>200A service per building × 2 buildings; Hydro Ottawa connection deposit separate.</t>
        </is>
      </c>
    </row>
    <row r="40" ht="15.75" customHeight="1" s="48">
      <c r="A40" s="49" t="n"/>
      <c r="B40" s="73" t="inlineStr">
        <is>
          <t>Smart-home / data rough-in (Cat-6A + WAP backbone)</t>
        </is>
      </c>
      <c r="C40" s="63" t="n">
        <v>6000</v>
      </c>
      <c r="D40" s="63" t="n">
        <v>7500</v>
      </c>
      <c r="E40" s="57">
        <f>D40-C40</f>
        <v/>
      </c>
      <c r="F40" s="61">
        <f>IFERROR((D40-C40)/C40,0)</f>
        <v/>
      </c>
      <c r="G40" s="78" t="inlineStr">
        <is>
          <t>fixed</t>
        </is>
      </c>
      <c r="H40" s="66" t="n"/>
    </row>
    <row r="41" ht="15.75" customHeight="1" s="48">
      <c r="A41" s="49" t="n"/>
      <c r="B41" s="60" t="inlineStr">
        <is>
          <t>Internet finishing (patch panels, jacks)</t>
        </is>
      </c>
      <c r="C41" s="63" t="n">
        <v>2500</v>
      </c>
      <c r="D41" s="63" t="n">
        <v>3000</v>
      </c>
      <c r="E41" s="57">
        <f>D41-C41</f>
        <v/>
      </c>
      <c r="F41" s="61">
        <f>IFERROR((D41-C41)/C41,0)</f>
        <v/>
      </c>
      <c r="G41" s="78" t="inlineStr">
        <is>
          <t>fixed</t>
        </is>
      </c>
      <c r="H41" s="66" t="n"/>
    </row>
    <row r="42" ht="15.75" customHeight="1" s="48">
      <c r="A42" s="49" t="n"/>
      <c r="B42" s="73" t="inlineStr">
        <is>
          <t>Security/camera system (2 entries × DVR)</t>
        </is>
      </c>
      <c r="C42" s="63" t="n">
        <v>3000</v>
      </c>
      <c r="D42" s="63" t="n">
        <v>4200</v>
      </c>
      <c r="E42" s="57">
        <f>D42-C42</f>
        <v/>
      </c>
      <c r="F42" s="61">
        <f>IFERROR((D42-C42)/C42,0)</f>
        <v/>
      </c>
      <c r="G42" s="78" t="inlineStr">
        <is>
          <t>fixed</t>
        </is>
      </c>
      <c r="H42" s="66" t="inlineStr">
        <is>
          <t>Insurance discount eligibility — recommend upgrade.</t>
        </is>
      </c>
    </row>
    <row r="43" ht="15.75" customHeight="1" s="48">
      <c r="A43" s="49" t="n"/>
      <c r="B43" s="56" t="inlineStr">
        <is>
          <t xml:space="preserve">  Subtotal — MECHANICAL / ELECTRICAL / PLUMBING</t>
        </is>
      </c>
      <c r="C43" s="64">
        <f>SUM(C30:C42)</f>
        <v/>
      </c>
      <c r="D43" s="64">
        <f>SUM(D30:D42)</f>
        <v/>
      </c>
      <c r="E43" s="64">
        <f>D43-C43</f>
        <v/>
      </c>
      <c r="F43" s="79">
        <f>IFERROR(E43/C43,0)</f>
        <v/>
      </c>
      <c r="G43" s="49" t="n"/>
      <c r="H43" s="49" t="n"/>
    </row>
    <row r="44" ht="15.75" customHeight="1" s="48">
      <c r="A44" s="49" t="n"/>
      <c r="B44" s="49" t="n"/>
      <c r="C44" s="49" t="n"/>
      <c r="D44" s="49" t="n"/>
      <c r="E44" s="49" t="n"/>
      <c r="F44" s="49" t="n"/>
      <c r="G44" s="49" t="n"/>
      <c r="H44" s="49" t="n"/>
    </row>
    <row r="45" ht="15.75" customHeight="1" s="48">
      <c r="A45" s="49" t="n"/>
      <c r="B45" s="55" t="inlineStr">
        <is>
          <t>INTERIORS &amp; FINISHES</t>
        </is>
      </c>
      <c r="C45" s="55" t="n"/>
      <c r="D45" s="55" t="n"/>
      <c r="E45" s="55" t="n"/>
      <c r="F45" s="55" t="n"/>
      <c r="G45" s="55" t="n"/>
      <c r="H45" s="55" t="n"/>
    </row>
    <row r="46" ht="15.75" customHeight="1" s="48">
      <c r="A46" s="49" t="n"/>
      <c r="B46" s="73" t="inlineStr">
        <is>
          <t>Insulation — base (R-31 walls / R-60 attic)</t>
        </is>
      </c>
      <c r="C46" s="63" t="n">
        <v>64750</v>
      </c>
      <c r="D46" s="63" t="n">
        <v>72000</v>
      </c>
      <c r="E46" s="57">
        <f>D46-C46</f>
        <v/>
      </c>
      <c r="F46" s="61">
        <f>IFERROR((D46-C46)/C46,0)</f>
        <v/>
      </c>
      <c r="G46" s="78" t="inlineStr">
        <is>
          <t>$/sqft GBA</t>
        </is>
      </c>
      <c r="H46" s="66" t="inlineStr">
        <is>
          <t>MLI Select requires improved envelope; bumped to R-31/R-60.</t>
        </is>
      </c>
    </row>
    <row r="47" ht="15.75" customHeight="1" s="48">
      <c r="A47" s="49" t="n"/>
      <c r="B47" s="60" t="inlineStr">
        <is>
          <t>Insulation — spray-foam basement (CCMC 14140-L) per Building B plan</t>
        </is>
      </c>
      <c r="C47" s="63" t="n">
        <v>15250</v>
      </c>
      <c r="D47" s="63" t="n">
        <v>17500</v>
      </c>
      <c r="E47" s="57">
        <f>D47-C47</f>
        <v/>
      </c>
      <c r="F47" s="61">
        <f>IFERROR((D47-C47)/C47,0)</f>
        <v/>
      </c>
      <c r="G47" s="78" t="inlineStr">
        <is>
          <t>fixed</t>
        </is>
      </c>
      <c r="H47" s="66" t="inlineStr">
        <is>
          <t>Closed-cell spray-foam per Building B specification.</t>
        </is>
      </c>
    </row>
    <row r="48" ht="15.75" customHeight="1" s="48">
      <c r="A48" s="49" t="n"/>
      <c r="B48" s="73" t="inlineStr">
        <is>
          <t>Drywall</t>
        </is>
      </c>
      <c r="C48" s="63" t="n">
        <v>45000</v>
      </c>
      <c r="D48" s="63" t="n">
        <v>50000</v>
      </c>
      <c r="E48" s="57">
        <f>D48-C48</f>
        <v/>
      </c>
      <c r="F48" s="61">
        <f>IFERROR((D48-C48)/C48,0)</f>
        <v/>
      </c>
      <c r="G48" s="78" t="inlineStr">
        <is>
          <t>$/sqft GBA</t>
        </is>
      </c>
      <c r="H48" s="66" t="n"/>
    </row>
    <row r="49" ht="15.75" customHeight="1" s="48">
      <c r="A49" s="49" t="n"/>
      <c r="B49" s="60" t="inlineStr">
        <is>
          <t>Plaster / Level-5 finish allowance</t>
        </is>
      </c>
      <c r="C49" s="63" t="n">
        <v>39000</v>
      </c>
      <c r="D49" s="63" t="n">
        <v>41000</v>
      </c>
      <c r="E49" s="57">
        <f>D49-C49</f>
        <v/>
      </c>
      <c r="F49" s="61">
        <f>IFERROR((D49-C49)/C49,0)</f>
        <v/>
      </c>
      <c r="G49" s="78" t="inlineStr">
        <is>
          <t>fixed</t>
        </is>
      </c>
      <c r="H49" s="66" t="n"/>
    </row>
    <row r="50" ht="15.75" customHeight="1" s="48">
      <c r="A50" s="49" t="n"/>
      <c r="B50" s="73" t="inlineStr">
        <is>
          <t>Drywall extras / patching</t>
        </is>
      </c>
      <c r="C50" s="63" t="n">
        <v>10000</v>
      </c>
      <c r="D50" s="63" t="n">
        <v>12000</v>
      </c>
      <c r="E50" s="57">
        <f>D50-C50</f>
        <v/>
      </c>
      <c r="F50" s="61">
        <f>IFERROR((D50-C50)/C50,0)</f>
        <v/>
      </c>
      <c r="G50" s="78" t="inlineStr">
        <is>
          <t>fixed</t>
        </is>
      </c>
      <c r="H50" s="66" t="n"/>
    </row>
    <row r="51" ht="15.75" customHeight="1" s="48">
      <c r="A51" s="49" t="n"/>
      <c r="B51" s="60" t="inlineStr">
        <is>
          <t>Painting</t>
        </is>
      </c>
      <c r="C51" s="63" t="n">
        <v>25000</v>
      </c>
      <c r="D51" s="63" t="n">
        <v>30000</v>
      </c>
      <c r="E51" s="57">
        <f>D51-C51</f>
        <v/>
      </c>
      <c r="F51" s="61">
        <f>IFERROR((D51-C51)/C51,0)</f>
        <v/>
      </c>
      <c r="G51" s="78" t="inlineStr">
        <is>
          <t>per unit</t>
        </is>
      </c>
      <c r="H51" s="66" t="inlineStr">
        <is>
          <t>$5K/unit; original missing 'painting extras' line item.</t>
        </is>
      </c>
    </row>
    <row r="52" ht="15.75" customHeight="1" s="48">
      <c r="A52" s="49" t="n"/>
      <c r="B52" s="73" t="inlineStr">
        <is>
          <t>Flooring — material (engineered hardwood + LVT)</t>
        </is>
      </c>
      <c r="C52" s="63" t="n">
        <v>25500</v>
      </c>
      <c r="D52" s="63" t="n">
        <v>30000</v>
      </c>
      <c r="E52" s="57">
        <f>D52-C52</f>
        <v/>
      </c>
      <c r="F52" s="61">
        <f>IFERROR((D52-C52)/C52,0)</f>
        <v/>
      </c>
      <c r="G52" s="78" t="inlineStr">
        <is>
          <t>$/sqft</t>
        </is>
      </c>
      <c r="H52" s="66" t="n"/>
    </row>
    <row r="53" ht="15.75" customHeight="1" s="48">
      <c r="A53" s="49" t="n"/>
      <c r="B53" s="60" t="inlineStr">
        <is>
          <t>Flooring — labour</t>
        </is>
      </c>
      <c r="C53" s="63" t="n">
        <v>10500</v>
      </c>
      <c r="D53" s="63" t="n">
        <v>12000</v>
      </c>
      <c r="E53" s="57">
        <f>D53-C53</f>
        <v/>
      </c>
      <c r="F53" s="61">
        <f>IFERROR((D53-C53)/C53,0)</f>
        <v/>
      </c>
      <c r="G53" s="78" t="inlineStr">
        <is>
          <t>$/sqft</t>
        </is>
      </c>
      <c r="H53" s="66" t="n"/>
    </row>
    <row r="54" ht="15.75" customHeight="1" s="48">
      <c r="A54" s="49" t="n"/>
      <c r="B54" s="73" t="inlineStr">
        <is>
          <t>Transitions + reducers</t>
        </is>
      </c>
      <c r="C54" s="63" t="n">
        <v>5000</v>
      </c>
      <c r="D54" s="63" t="n">
        <v>5000</v>
      </c>
      <c r="E54" s="57">
        <f>D54-C54</f>
        <v/>
      </c>
      <c r="F54" s="61">
        <f>IFERROR((D54-C54)/C54,0)</f>
        <v/>
      </c>
      <c r="G54" s="78" t="inlineStr">
        <is>
          <t>fixed</t>
        </is>
      </c>
      <c r="H54" s="66" t="n"/>
    </row>
    <row r="55" ht="15.75" customHeight="1" s="48">
      <c r="A55" s="49" t="n"/>
      <c r="B55" s="60" t="inlineStr">
        <is>
          <t>Flooring extras / damage allowance</t>
        </is>
      </c>
      <c r="C55" s="63" t="n">
        <v>15000</v>
      </c>
      <c r="D55" s="63" t="n">
        <v>15000</v>
      </c>
      <c r="E55" s="57">
        <f>D55-C55</f>
        <v/>
      </c>
      <c r="F55" s="61">
        <f>IFERROR((D55-C55)/C55,0)</f>
        <v/>
      </c>
      <c r="G55" s="78" t="inlineStr">
        <is>
          <t>fixed</t>
        </is>
      </c>
      <c r="H55" s="66" t="n"/>
    </row>
    <row r="56" ht="15.75" customHeight="1" s="48">
      <c r="A56" s="49" t="n"/>
      <c r="B56" s="73" t="inlineStr">
        <is>
          <t>Bathroom tile — material</t>
        </is>
      </c>
      <c r="C56" s="63" t="n">
        <v>10800</v>
      </c>
      <c r="D56" s="63" t="n">
        <v>12000</v>
      </c>
      <c r="E56" s="57">
        <f>D56-C56</f>
        <v/>
      </c>
      <c r="F56" s="61">
        <f>IFERROR((D56-C56)/C56,0)</f>
        <v/>
      </c>
      <c r="G56" s="78" t="inlineStr">
        <is>
          <t>per bath</t>
        </is>
      </c>
      <c r="H56" s="66" t="inlineStr">
        <is>
          <t>$1K/bath × 12 baths (2 per unit avg).</t>
        </is>
      </c>
    </row>
    <row r="57" ht="15.75" customHeight="1" s="48">
      <c r="A57" s="49" t="n"/>
      <c r="B57" s="60" t="inlineStr">
        <is>
          <t>Bathroom tile — labour</t>
        </is>
      </c>
      <c r="C57" s="63" t="n">
        <v>14000</v>
      </c>
      <c r="D57" s="63" t="n">
        <v>15500</v>
      </c>
      <c r="E57" s="57">
        <f>D57-C57</f>
        <v/>
      </c>
      <c r="F57" s="61">
        <f>IFERROR((D57-C57)/C57,0)</f>
        <v/>
      </c>
      <c r="G57" s="78" t="inlineStr">
        <is>
          <t>per bath</t>
        </is>
      </c>
      <c r="H57" s="66" t="n"/>
    </row>
    <row r="58" ht="15.75" customHeight="1" s="48">
      <c r="A58" s="49" t="n"/>
      <c r="B58" s="73" t="inlineStr">
        <is>
          <t>Backsplash kitchen tile</t>
        </is>
      </c>
      <c r="C58" s="63" t="n">
        <v>3000</v>
      </c>
      <c r="D58" s="63" t="n">
        <v>3600</v>
      </c>
      <c r="E58" s="57">
        <f>D58-C58</f>
        <v/>
      </c>
      <c r="F58" s="61">
        <f>IFERROR((D58-C58)/C58,0)</f>
        <v/>
      </c>
      <c r="G58" s="78" t="inlineStr">
        <is>
          <t>per unit</t>
        </is>
      </c>
      <c r="H58" s="66" t="n"/>
    </row>
    <row r="59" ht="15.75" customHeight="1" s="48">
      <c r="A59" s="49" t="n"/>
      <c r="B59" s="60" t="inlineStr">
        <is>
          <t>Bathroom extras</t>
        </is>
      </c>
      <c r="C59" s="63" t="n">
        <v>6000</v>
      </c>
      <c r="D59" s="63" t="n">
        <v>7000</v>
      </c>
      <c r="E59" s="57">
        <f>D59-C59</f>
        <v/>
      </c>
      <c r="F59" s="61">
        <f>IFERROR((D59-C59)/C59,0)</f>
        <v/>
      </c>
      <c r="G59" s="78" t="inlineStr">
        <is>
          <t>per unit</t>
        </is>
      </c>
      <c r="H59" s="66" t="n"/>
    </row>
    <row r="60" ht="15.75" customHeight="1" s="48">
      <c r="A60" s="49" t="n"/>
      <c r="B60" s="73" t="inlineStr">
        <is>
          <t>Shower glass material</t>
        </is>
      </c>
      <c r="C60" s="63" t="n">
        <v>7200</v>
      </c>
      <c r="D60" s="63" t="n">
        <v>8400</v>
      </c>
      <c r="E60" s="57">
        <f>D60-C60</f>
        <v/>
      </c>
      <c r="F60" s="61">
        <f>IFERROR((D60-C60)/C60,0)</f>
        <v/>
      </c>
      <c r="G60" s="78" t="inlineStr">
        <is>
          <t>per shower</t>
        </is>
      </c>
      <c r="H60" s="66" t="n"/>
    </row>
    <row r="61" ht="15.75" customHeight="1" s="48">
      <c r="A61" s="49" t="n"/>
      <c r="B61" s="60" t="inlineStr">
        <is>
          <t>Shower kit labour</t>
        </is>
      </c>
      <c r="C61" s="63" t="n">
        <v>3600</v>
      </c>
      <c r="D61" s="63" t="n">
        <v>4200</v>
      </c>
      <c r="E61" s="57">
        <f>D61-C61</f>
        <v/>
      </c>
      <c r="F61" s="61">
        <f>IFERROR((D61-C61)/C61,0)</f>
        <v/>
      </c>
      <c r="G61" s="78" t="inlineStr">
        <is>
          <t>per shower</t>
        </is>
      </c>
      <c r="H61" s="66" t="n"/>
    </row>
    <row r="62" ht="15.75" customHeight="1" s="48">
      <c r="A62" s="49" t="n"/>
      <c r="B62" s="73" t="inlineStr">
        <is>
          <t>Cabinets — kitchen + bath</t>
        </is>
      </c>
      <c r="C62" s="63" t="n">
        <v>60000</v>
      </c>
      <c r="D62" s="63" t="n">
        <v>66000</v>
      </c>
      <c r="E62" s="57">
        <f>D62-C62</f>
        <v/>
      </c>
      <c r="F62" s="61">
        <f>IFERROR((D62-C62)/C62,0)</f>
        <v/>
      </c>
      <c r="G62" s="78" t="inlineStr">
        <is>
          <t>per unit</t>
        </is>
      </c>
      <c r="H62" s="66" t="inlineStr">
        <is>
          <t>$11K/unit; mid-range custom plus appliance garage etc.</t>
        </is>
      </c>
    </row>
    <row r="63" ht="15.75" customHeight="1" s="48">
      <c r="A63" s="49" t="n"/>
      <c r="B63" s="60" t="inlineStr">
        <is>
          <t>Countertops (quartz)</t>
        </is>
      </c>
      <c r="C63" s="63" t="n">
        <v>48000</v>
      </c>
      <c r="D63" s="63" t="n">
        <v>54000</v>
      </c>
      <c r="E63" s="57">
        <f>D63-C63</f>
        <v/>
      </c>
      <c r="F63" s="61">
        <f>IFERROR((D63-C63)/C63,0)</f>
        <v/>
      </c>
      <c r="G63" s="78" t="inlineStr">
        <is>
          <t>per unit</t>
        </is>
      </c>
      <c r="H63" s="66" t="inlineStr">
        <is>
          <t>$9K/unit; 35 sqft of quartz/unit at $145/sqft installed.</t>
        </is>
      </c>
    </row>
    <row r="64" ht="15.75" customHeight="1" s="48">
      <c r="A64" s="49" t="n"/>
      <c r="B64" s="73" t="inlineStr">
        <is>
          <t>Trim &amp; doors — material + hardware</t>
        </is>
      </c>
      <c r="C64" s="63" t="n">
        <v>36000</v>
      </c>
      <c r="D64" s="63" t="n">
        <v>39000</v>
      </c>
      <c r="E64" s="57">
        <f>D64-C64</f>
        <v/>
      </c>
      <c r="F64" s="61">
        <f>IFERROR((D64-C64)/C64,0)</f>
        <v/>
      </c>
      <c r="G64" s="78" t="inlineStr">
        <is>
          <t>$/sqft GBA</t>
        </is>
      </c>
      <c r="H64" s="66" t="n"/>
    </row>
    <row r="65" ht="15.75" customHeight="1" s="48">
      <c r="A65" s="49" t="n"/>
      <c r="B65" s="60" t="inlineStr">
        <is>
          <t>Trim &amp; doors — labour</t>
        </is>
      </c>
      <c r="C65" s="63" t="n">
        <v>9000</v>
      </c>
      <c r="D65" s="63" t="n">
        <v>10500</v>
      </c>
      <c r="E65" s="57">
        <f>D65-C65</f>
        <v/>
      </c>
      <c r="F65" s="61">
        <f>IFERROR((D65-C65)/C65,0)</f>
        <v/>
      </c>
      <c r="G65" s="78" t="inlineStr">
        <is>
          <t>fixed</t>
        </is>
      </c>
      <c r="H65" s="66" t="n"/>
    </row>
    <row r="66" ht="15.75" customHeight="1" s="48">
      <c r="A66" s="49" t="n"/>
      <c r="B66" s="73" t="inlineStr">
        <is>
          <t>Bathroom hardware</t>
        </is>
      </c>
      <c r="C66" s="63" t="n">
        <v>4500</v>
      </c>
      <c r="D66" s="63" t="n">
        <v>5400</v>
      </c>
      <c r="E66" s="57">
        <f>D66-C66</f>
        <v/>
      </c>
      <c r="F66" s="61">
        <f>IFERROR((D66-C66)/C66,0)</f>
        <v/>
      </c>
      <c r="G66" s="78" t="inlineStr">
        <is>
          <t>per bath</t>
        </is>
      </c>
      <c r="H66" s="66" t="n"/>
    </row>
    <row r="67" ht="15.75" customHeight="1" s="48">
      <c r="A67" s="49" t="n"/>
      <c r="B67" s="60" t="inlineStr">
        <is>
          <t>Misc hardware</t>
        </is>
      </c>
      <c r="C67" s="63" t="n">
        <v>1500</v>
      </c>
      <c r="D67" s="63" t="n">
        <v>1800</v>
      </c>
      <c r="E67" s="57">
        <f>D67-C67</f>
        <v/>
      </c>
      <c r="F67" s="61">
        <f>IFERROR((D67-C67)/C67,0)</f>
        <v/>
      </c>
      <c r="G67" s="78" t="inlineStr">
        <is>
          <t>fixed</t>
        </is>
      </c>
      <c r="H67" s="66" t="n"/>
    </row>
    <row r="68" ht="15.75" customHeight="1" s="48">
      <c r="A68" s="49" t="n"/>
      <c r="B68" s="56" t="inlineStr">
        <is>
          <t xml:space="preserve">  Subtotal — INTERIORS &amp; FINISHES</t>
        </is>
      </c>
      <c r="C68" s="64">
        <f>SUM(C46:C67)</f>
        <v/>
      </c>
      <c r="D68" s="64">
        <f>SUM(D46:D67)</f>
        <v/>
      </c>
      <c r="E68" s="64">
        <f>D68-C68</f>
        <v/>
      </c>
      <c r="F68" s="79">
        <f>IFERROR(E68/C68,0)</f>
        <v/>
      </c>
      <c r="G68" s="49" t="n"/>
      <c r="H68" s="49" t="n"/>
    </row>
    <row r="69" ht="15.75" customHeight="1" s="48">
      <c r="A69" s="49" t="n"/>
      <c r="B69" s="49" t="n"/>
      <c r="C69" s="49" t="n"/>
      <c r="D69" s="49" t="n"/>
      <c r="E69" s="49" t="n"/>
      <c r="F69" s="49" t="n"/>
      <c r="G69" s="49" t="n"/>
      <c r="H69" s="49" t="n"/>
    </row>
    <row r="70" ht="15.75" customHeight="1" s="48">
      <c r="A70" s="49" t="n"/>
      <c r="B70" s="55" t="inlineStr">
        <is>
          <t>EXTERIOR / SITE WORKS</t>
        </is>
      </c>
      <c r="C70" s="55" t="n"/>
      <c r="D70" s="55" t="n"/>
      <c r="E70" s="55" t="n"/>
      <c r="F70" s="55" t="n"/>
      <c r="G70" s="55" t="n"/>
      <c r="H70" s="55" t="n"/>
    </row>
    <row r="71" ht="15.75" customHeight="1" s="48">
      <c r="A71" s="49" t="n"/>
      <c r="B71" s="60" t="inlineStr">
        <is>
          <t>Asphalt driveway / walkways</t>
        </is>
      </c>
      <c r="C71" s="63" t="n">
        <v>11500</v>
      </c>
      <c r="D71" s="63" t="n">
        <v>13000</v>
      </c>
      <c r="E71" s="57">
        <f>D71-C71</f>
        <v/>
      </c>
      <c r="F71" s="61">
        <f>IFERROR((D71-C71)/C71,0)</f>
        <v/>
      </c>
      <c r="G71" s="78" t="inlineStr">
        <is>
          <t>$/sqft</t>
        </is>
      </c>
      <c r="H71" s="66" t="n"/>
    </row>
    <row r="72" ht="15.75" customHeight="1" s="48">
      <c r="A72" s="49" t="n"/>
      <c r="B72" s="73" t="inlineStr">
        <is>
          <t>Landscape labour</t>
        </is>
      </c>
      <c r="C72" s="63" t="n">
        <v>15000</v>
      </c>
      <c r="D72" s="63" t="n">
        <v>17000</v>
      </c>
      <c r="E72" s="57">
        <f>D72-C72</f>
        <v/>
      </c>
      <c r="F72" s="61">
        <f>IFERROR((D72-C72)/C72,0)</f>
        <v/>
      </c>
      <c r="G72" s="78" t="inlineStr">
        <is>
          <t>fixed</t>
        </is>
      </c>
      <c r="H72" s="66" t="n"/>
    </row>
    <row r="73" ht="15.75" customHeight="1" s="48">
      <c r="A73" s="49" t="n"/>
      <c r="B73" s="60" t="inlineStr">
        <is>
          <t>Landscape material (sod, trees per arborist plan)</t>
        </is>
      </c>
      <c r="C73" s="63" t="n">
        <v>24500</v>
      </c>
      <c r="D73" s="63" t="n">
        <v>28000</v>
      </c>
      <c r="E73" s="57">
        <f>D73-C73</f>
        <v/>
      </c>
      <c r="F73" s="61">
        <f>IFERROR((D73-C73)/C73,0)</f>
        <v/>
      </c>
      <c r="G73" s="78" t="inlineStr">
        <is>
          <t>fixed</t>
        </is>
      </c>
      <c r="H73" s="66" t="inlineStr">
        <is>
          <t>Required tree replacements per Ottawa Tree Protection By-law 2020-340 + arborist report.</t>
        </is>
      </c>
    </row>
    <row r="74" ht="15.75" customHeight="1" s="48">
      <c r="A74" s="49" t="n"/>
      <c r="B74" s="56" t="inlineStr">
        <is>
          <t xml:space="preserve">  Subtotal — EXTERIOR / SITE WORKS</t>
        </is>
      </c>
      <c r="C74" s="64">
        <f>SUM(C71:C73)</f>
        <v/>
      </c>
      <c r="D74" s="64">
        <f>SUM(D71:D73)</f>
        <v/>
      </c>
      <c r="E74" s="64">
        <f>D74-C74</f>
        <v/>
      </c>
      <c r="F74" s="79">
        <f>IFERROR(E74/C74,0)</f>
        <v/>
      </c>
      <c r="G74" s="49" t="n"/>
      <c r="H74" s="49" t="n"/>
    </row>
    <row r="75" ht="15.75" customHeight="1" s="48">
      <c r="A75" s="49" t="n"/>
      <c r="B75" s="49" t="n"/>
      <c r="C75" s="49" t="n"/>
      <c r="D75" s="49" t="n"/>
      <c r="E75" s="49" t="n"/>
      <c r="F75" s="49" t="n"/>
      <c r="G75" s="49" t="n"/>
      <c r="H75" s="49" t="n"/>
    </row>
    <row r="76" ht="15.75" customHeight="1" s="48">
      <c r="A76" s="49" t="n"/>
      <c r="B76" s="55" t="inlineStr">
        <is>
          <t>APPLIANCES &amp; FF&amp;E</t>
        </is>
      </c>
      <c r="C76" s="55" t="n"/>
      <c r="D76" s="55" t="n"/>
      <c r="E76" s="55" t="n"/>
      <c r="F76" s="55" t="n"/>
      <c r="G76" s="55" t="n"/>
      <c r="H76" s="55" t="n"/>
    </row>
    <row r="77" ht="15.75" customHeight="1" s="48">
      <c r="A77" s="49" t="n"/>
      <c r="B77" s="60" t="inlineStr">
        <is>
          <t>Appliances</t>
        </is>
      </c>
      <c r="C77" s="63" t="n">
        <v>27000</v>
      </c>
      <c r="D77" s="63" t="n">
        <v>30000</v>
      </c>
      <c r="E77" s="57">
        <f>D77-C77</f>
        <v/>
      </c>
      <c r="F77" s="61">
        <f>IFERROR((D77-C77)/C77,0)</f>
        <v/>
      </c>
      <c r="G77" s="78" t="inlineStr">
        <is>
          <t>per unit</t>
        </is>
      </c>
      <c r="H77" s="66" t="inlineStr">
        <is>
          <t>$5K/unit × 6 units.</t>
        </is>
      </c>
    </row>
    <row r="78" ht="15.75" customHeight="1" s="48">
      <c r="A78" s="49" t="n"/>
      <c r="B78" s="73" t="inlineStr">
        <is>
          <t>Appliance install extras</t>
        </is>
      </c>
      <c r="C78" s="63" t="n">
        <v>2000</v>
      </c>
      <c r="D78" s="63" t="n">
        <v>2400</v>
      </c>
      <c r="E78" s="57">
        <f>D78-C78</f>
        <v/>
      </c>
      <c r="F78" s="61">
        <f>IFERROR((D78-C78)/C78,0)</f>
        <v/>
      </c>
      <c r="G78" s="78" t="inlineStr">
        <is>
          <t>fixed</t>
        </is>
      </c>
      <c r="H78" s="66" t="n"/>
    </row>
    <row r="79" ht="15.75" customHeight="1" s="48">
      <c r="A79" s="49" t="n"/>
      <c r="B79" s="60" t="inlineStr">
        <is>
          <t>Furniture (model unit + common areas)</t>
        </is>
      </c>
      <c r="C79" s="63" t="n">
        <v>18000</v>
      </c>
      <c r="D79" s="63" t="n">
        <v>18000</v>
      </c>
      <c r="E79" s="57">
        <f>D79-C79</f>
        <v/>
      </c>
      <c r="F79" s="61">
        <f>IFERROR((D79-C79)/C79,0)</f>
        <v/>
      </c>
      <c r="G79" s="78" t="inlineStr">
        <is>
          <t>fixed</t>
        </is>
      </c>
      <c r="H79" s="66" t="inlineStr">
        <is>
          <t>Optional — only required if marketing model unit.</t>
        </is>
      </c>
    </row>
    <row r="80" ht="15.75" customHeight="1" s="48">
      <c r="A80" s="49" t="n"/>
      <c r="B80" s="56" t="inlineStr">
        <is>
          <t xml:space="preserve">  Subtotal — APPLIANCES &amp; FF&amp;E</t>
        </is>
      </c>
      <c r="C80" s="64">
        <f>SUM(C77:C79)</f>
        <v/>
      </c>
      <c r="D80" s="64">
        <f>SUM(D77:D79)</f>
        <v/>
      </c>
      <c r="E80" s="64">
        <f>D80-C80</f>
        <v/>
      </c>
      <c r="F80" s="79">
        <f>IFERROR(E80/C80,0)</f>
        <v/>
      </c>
      <c r="G80" s="49" t="n"/>
      <c r="H80" s="49" t="n"/>
    </row>
    <row r="81" ht="15.75" customHeight="1" s="48">
      <c r="A81" s="49" t="n"/>
      <c r="B81" s="49" t="n"/>
      <c r="C81" s="49" t="n"/>
      <c r="D81" s="49" t="n"/>
      <c r="E81" s="49" t="n"/>
      <c r="F81" s="49" t="n"/>
      <c r="G81" s="49" t="n"/>
      <c r="H81" s="49" t="n"/>
    </row>
    <row r="82" ht="15.75" customHeight="1" s="48">
      <c r="A82" s="49" t="n"/>
      <c r="B82" s="55" t="inlineStr">
        <is>
          <t>SITE OVERHEAD / CONSTRUCTION SUPPORT</t>
        </is>
      </c>
      <c r="C82" s="55" t="n"/>
      <c r="D82" s="55" t="n"/>
      <c r="E82" s="55" t="n"/>
      <c r="F82" s="55" t="n"/>
      <c r="G82" s="55" t="n"/>
      <c r="H82" s="55" t="n"/>
    </row>
    <row r="83" ht="15.75" customHeight="1" s="48">
      <c r="A83" s="49" t="n"/>
      <c r="B83" s="60" t="inlineStr">
        <is>
          <t>Site cleaning ongoing</t>
        </is>
      </c>
      <c r="C83" s="63" t="n">
        <v>2500</v>
      </c>
      <c r="D83" s="63" t="n">
        <v>3500</v>
      </c>
      <c r="E83" s="57">
        <f>D83-C83</f>
        <v/>
      </c>
      <c r="F83" s="61">
        <f>IFERROR((D83-C83)/C83,0)</f>
        <v/>
      </c>
      <c r="G83" s="78" t="inlineStr">
        <is>
          <t>fixed</t>
        </is>
      </c>
      <c r="H83" s="66" t="n"/>
    </row>
    <row r="84" ht="15.75" customHeight="1" s="48">
      <c r="A84" s="49" t="n"/>
      <c r="B84" s="73" t="inlineStr">
        <is>
          <t>Final cleaning (turnover)</t>
        </is>
      </c>
      <c r="C84" s="63" t="n">
        <v>3200</v>
      </c>
      <c r="D84" s="63" t="n">
        <v>3600</v>
      </c>
      <c r="E84" s="57">
        <f>D84-C84</f>
        <v/>
      </c>
      <c r="F84" s="61">
        <f>IFERROR((D84-C84)/C84,0)</f>
        <v/>
      </c>
      <c r="G84" s="78" t="inlineStr">
        <is>
          <t>fixed</t>
        </is>
      </c>
      <c r="H84" s="66" t="n"/>
    </row>
    <row r="85" ht="15.75" customHeight="1" s="48">
      <c r="A85" s="49" t="n"/>
      <c r="B85" s="60" t="inlineStr">
        <is>
          <t>Safety overhead (PPE, signage, training)</t>
        </is>
      </c>
      <c r="C85" s="63" t="n">
        <v>1500</v>
      </c>
      <c r="D85" s="63" t="n">
        <v>2500</v>
      </c>
      <c r="E85" s="57">
        <f>D85-C85</f>
        <v/>
      </c>
      <c r="F85" s="61">
        <f>IFERROR((D85-C85)/C85,0)</f>
        <v/>
      </c>
      <c r="G85" s="78" t="inlineStr">
        <is>
          <t>fixed</t>
        </is>
      </c>
      <c r="H85" s="66" t="inlineStr">
        <is>
          <t>Ministry of Labour O.Reg 213/91 compliance — under-budgeted at $1.5K.</t>
        </is>
      </c>
    </row>
    <row r="86" ht="15.75" customHeight="1" s="48">
      <c r="A86" s="49" t="n"/>
      <c r="B86" s="73" t="inlineStr">
        <is>
          <t>Plan printing / drawing reproduction</t>
        </is>
      </c>
      <c r="C86" s="63" t="n">
        <v>500</v>
      </c>
      <c r="D86" s="63" t="n">
        <v>500</v>
      </c>
      <c r="E86" s="57">
        <f>D86-C86</f>
        <v/>
      </c>
      <c r="F86" s="61">
        <f>IFERROR((D86-C86)/C86,0)</f>
        <v/>
      </c>
      <c r="G86" s="78" t="inlineStr">
        <is>
          <t>fixed</t>
        </is>
      </c>
      <c r="H86" s="66" t="n"/>
    </row>
    <row r="87" ht="15.75" customHeight="1" s="48">
      <c r="A87" s="49" t="n"/>
      <c r="B87" s="60" t="inlineStr">
        <is>
          <t>Fence depreciation</t>
        </is>
      </c>
      <c r="C87" s="63" t="n">
        <v>500</v>
      </c>
      <c r="D87" s="63" t="n">
        <v>750</v>
      </c>
      <c r="E87" s="57">
        <f>D87-C87</f>
        <v/>
      </c>
      <c r="F87" s="61">
        <f>IFERROR((D87-C87)/C87,0)</f>
        <v/>
      </c>
      <c r="G87" s="78" t="inlineStr">
        <is>
          <t>fixed</t>
        </is>
      </c>
      <c r="H87" s="66" t="n"/>
    </row>
    <row r="88" ht="15.75" customHeight="1" s="48">
      <c r="A88" s="49" t="n"/>
      <c r="B88" s="73" t="inlineStr">
        <is>
          <t>Construction signage</t>
        </is>
      </c>
      <c r="C88" s="63" t="n">
        <v>1000</v>
      </c>
      <c r="D88" s="63" t="n">
        <v>1000</v>
      </c>
      <c r="E88" s="57">
        <f>D88-C88</f>
        <v/>
      </c>
      <c r="F88" s="61">
        <f>IFERROR((D88-C88)/C88,0)</f>
        <v/>
      </c>
      <c r="G88" s="78" t="inlineStr">
        <is>
          <t>fixed</t>
        </is>
      </c>
      <c r="H88" s="66" t="n"/>
    </row>
    <row r="89" ht="15.75" customHeight="1" s="48">
      <c r="A89" s="49" t="n"/>
      <c r="B89" s="60" t="inlineStr">
        <is>
          <t>Drone footage / progress photography</t>
        </is>
      </c>
      <c r="C89" s="63" t="n">
        <v>750</v>
      </c>
      <c r="D89" s="63" t="n">
        <v>750</v>
      </c>
      <c r="E89" s="57">
        <f>D89-C89</f>
        <v/>
      </c>
      <c r="F89" s="61">
        <f>IFERROR((D89-C89)/C89,0)</f>
        <v/>
      </c>
      <c r="G89" s="78" t="inlineStr">
        <is>
          <t>fixed</t>
        </is>
      </c>
      <c r="H89" s="66" t="n"/>
    </row>
    <row r="90" ht="15.75" customHeight="1" s="48">
      <c r="A90" s="49" t="n"/>
      <c r="B90" s="73" t="inlineStr">
        <is>
          <t>Builders' risk insurance (course-of-construction)</t>
        </is>
      </c>
      <c r="C90" s="63" t="n">
        <v>9800</v>
      </c>
      <c r="D90" s="63" t="n">
        <v>12500</v>
      </c>
      <c r="E90" s="57">
        <f>D90-C90</f>
        <v/>
      </c>
      <c r="F90" s="61">
        <f>IFERROR((D90-C90)/C90,0)</f>
        <v/>
      </c>
      <c r="G90" s="78" t="inlineStr">
        <is>
          <t>% TPC</t>
        </is>
      </c>
      <c r="H90" s="66" t="inlineStr">
        <is>
          <t>$2.0–$2.5/$1,000 of TPC; 14-mo policy on ~$3M hard+soft.</t>
        </is>
      </c>
    </row>
    <row r="91" ht="15.75" customHeight="1" s="48">
      <c r="A91" s="49" t="n"/>
      <c r="B91" s="60" t="inlineStr">
        <is>
          <t>Heating equipment rental (temporary heat)</t>
        </is>
      </c>
      <c r="C91" s="63" t="n">
        <v>2500</v>
      </c>
      <c r="D91" s="63" t="n">
        <v>4500</v>
      </c>
      <c r="E91" s="57">
        <f>D91-C91</f>
        <v/>
      </c>
      <c r="F91" s="61">
        <f>IFERROR((D91-C91)/C91,0)</f>
        <v/>
      </c>
      <c r="G91" s="78" t="inlineStr">
        <is>
          <t>fixed</t>
        </is>
      </c>
      <c r="H91" s="66" t="inlineStr">
        <is>
          <t>Two 14-mo builds in Ottawa winter = significant temp heat load.</t>
        </is>
      </c>
    </row>
    <row r="92" ht="15.75" customHeight="1" s="48">
      <c r="A92" s="49" t="n"/>
      <c r="B92" s="73" t="inlineStr">
        <is>
          <t>Tool / equipment rental allowance</t>
        </is>
      </c>
      <c r="C92" s="63" t="n">
        <v>2500</v>
      </c>
      <c r="D92" s="63" t="n">
        <v>3000</v>
      </c>
      <c r="E92" s="57">
        <f>D92-C92</f>
        <v/>
      </c>
      <c r="F92" s="61">
        <f>IFERROR((D92-C92)/C92,0)</f>
        <v/>
      </c>
      <c r="G92" s="78" t="inlineStr">
        <is>
          <t>fixed</t>
        </is>
      </c>
      <c r="H92" s="66" t="n"/>
    </row>
    <row r="93" ht="15.75" customHeight="1" s="48">
      <c r="A93" s="49" t="n"/>
      <c r="B93" s="60" t="inlineStr">
        <is>
          <t>Site PM labour buffer</t>
        </is>
      </c>
      <c r="C93" s="63" t="n">
        <v>18500</v>
      </c>
      <c r="D93" s="63" t="n">
        <v>20000</v>
      </c>
      <c r="E93" s="57">
        <f>D93-C93</f>
        <v/>
      </c>
      <c r="F93" s="61">
        <f>IFERROR((D93-C93)/C93,0)</f>
        <v/>
      </c>
      <c r="G93" s="78" t="inlineStr">
        <is>
          <t>fixed</t>
        </is>
      </c>
      <c r="H93" s="66" t="n"/>
    </row>
    <row r="94" ht="15.75" customHeight="1" s="48">
      <c r="A94" s="49" t="n"/>
      <c r="B94" s="73" t="inlineStr">
        <is>
          <t>Equipment rentals (mini-ex, lifts)</t>
        </is>
      </c>
      <c r="C94" s="63" t="n">
        <v>6000</v>
      </c>
      <c r="D94" s="63" t="n">
        <v>7000</v>
      </c>
      <c r="E94" s="57">
        <f>D94-C94</f>
        <v/>
      </c>
      <c r="F94" s="61">
        <f>IFERROR((D94-C94)/C94,0)</f>
        <v/>
      </c>
      <c r="G94" s="78" t="inlineStr">
        <is>
          <t>fixed</t>
        </is>
      </c>
      <c r="H94" s="66" t="n"/>
    </row>
    <row r="95" ht="15.75" customHeight="1" s="48">
      <c r="A95" s="49" t="n"/>
      <c r="B95" s="60" t="inlineStr">
        <is>
          <t>Misc material allowance</t>
        </is>
      </c>
      <c r="C95" s="63" t="n">
        <v>7500</v>
      </c>
      <c r="D95" s="63" t="n">
        <v>8500</v>
      </c>
      <c r="E95" s="57">
        <f>D95-C95</f>
        <v/>
      </c>
      <c r="F95" s="61">
        <f>IFERROR((D95-C95)/C95,0)</f>
        <v/>
      </c>
      <c r="G95" s="78" t="inlineStr">
        <is>
          <t>fixed</t>
        </is>
      </c>
      <c r="H95" s="66" t="n"/>
    </row>
    <row r="96" ht="15.75" customHeight="1" s="48">
      <c r="A96" s="49" t="n"/>
      <c r="B96" s="73" t="inlineStr">
        <is>
          <t>Misc safety items</t>
        </is>
      </c>
      <c r="C96" s="63" t="n">
        <v>1500</v>
      </c>
      <c r="D96" s="63" t="n">
        <v>1800</v>
      </c>
      <c r="E96" s="57">
        <f>D96-C96</f>
        <v/>
      </c>
      <c r="F96" s="61">
        <f>IFERROR((D96-C96)/C96,0)</f>
        <v/>
      </c>
      <c r="G96" s="78" t="inlineStr">
        <is>
          <t>fixed</t>
        </is>
      </c>
      <c r="H96" s="66" t="n"/>
    </row>
    <row r="97" ht="15.75" customHeight="1" s="48">
      <c r="A97" s="49" t="n"/>
      <c r="B97" s="60" t="inlineStr">
        <is>
          <t>Boards &amp; signage</t>
        </is>
      </c>
      <c r="C97" s="63" t="n">
        <v>1200</v>
      </c>
      <c r="D97" s="63" t="n">
        <v>1200</v>
      </c>
      <c r="E97" s="57">
        <f>D97-C97</f>
        <v/>
      </c>
      <c r="F97" s="61">
        <f>IFERROR((D97-C97)/C97,0)</f>
        <v/>
      </c>
      <c r="G97" s="78" t="inlineStr">
        <is>
          <t>fixed</t>
        </is>
      </c>
      <c r="H97" s="66" t="n"/>
    </row>
    <row r="98" ht="15.75" customHeight="1" s="48">
      <c r="A98" s="49" t="n"/>
      <c r="B98" s="56" t="inlineStr">
        <is>
          <t xml:space="preserve">  Subtotal — SITE OVERHEAD / CONSTRUCTION SUPPORT</t>
        </is>
      </c>
      <c r="C98" s="64">
        <f>SUM(C83:C97)</f>
        <v/>
      </c>
      <c r="D98" s="64">
        <f>SUM(D83:D97)</f>
        <v/>
      </c>
      <c r="E98" s="64">
        <f>D98-C98</f>
        <v/>
      </c>
      <c r="F98" s="79">
        <f>IFERROR(E98/C98,0)</f>
        <v/>
      </c>
      <c r="G98" s="49" t="n"/>
      <c r="H98" s="49" t="n"/>
    </row>
    <row r="99" ht="15.75" customHeight="1" s="48">
      <c r="A99" s="49" t="n"/>
      <c r="B99" s="49" t="n"/>
      <c r="C99" s="49" t="n"/>
      <c r="D99" s="49" t="n"/>
      <c r="E99" s="49" t="n"/>
      <c r="F99" s="49" t="n"/>
      <c r="G99" s="49" t="n"/>
      <c r="H99" s="49" t="n"/>
    </row>
    <row r="100" ht="15.75" customHeight="1" s="48">
      <c r="A100" s="49" t="n"/>
      <c r="B100" s="55" t="inlineStr">
        <is>
          <t>TOTAL HARD COSTS</t>
        </is>
      </c>
      <c r="C100" s="67">
        <f>C14+C27+C43+C68+C74+C80+C98</f>
        <v/>
      </c>
      <c r="D100" s="67">
        <f>D14+D27+D43+D68+D74+D80+D98</f>
        <v/>
      </c>
      <c r="E100" s="67">
        <f>D100-C100</f>
        <v/>
      </c>
      <c r="F100" s="68">
        <f>IFERROR(E100/C100,0)</f>
        <v/>
      </c>
      <c r="G100" s="49" t="n"/>
      <c r="H100" s="49" t="n"/>
    </row>
    <row r="101" ht="15.75" customHeight="1" s="48">
      <c r="A101" s="49" t="n"/>
      <c r="B101" s="49" t="n"/>
      <c r="C101" s="49" t="n"/>
      <c r="D101" s="49" t="n"/>
      <c r="E101" s="49" t="n"/>
      <c r="F101" s="49" t="n"/>
      <c r="G101" s="49" t="n"/>
      <c r="H101" s="49" t="n"/>
    </row>
    <row r="102" ht="15.75" customHeight="1" s="48">
      <c r="A102" s="49" t="n"/>
      <c r="B102" s="56" t="inlineStr">
        <is>
          <t>Restated $/sqft GBA</t>
        </is>
      </c>
      <c r="C102" s="57">
        <f>C100/Assumptions!C9</f>
        <v/>
      </c>
      <c r="D102" s="57">
        <f>D100/Assumptions!C9</f>
        <v/>
      </c>
      <c r="E102" s="49" t="n"/>
      <c r="F102" s="49" t="n"/>
      <c r="G102" s="49" t="n"/>
      <c r="H102" s="49" t="n"/>
    </row>
    <row r="103" ht="15.75" customHeight="1" s="48">
      <c r="A103" s="49" t="n"/>
      <c r="B103" s="56" t="inlineStr">
        <is>
          <t>Restated $ per unit</t>
        </is>
      </c>
      <c r="C103" s="57">
        <f>C100/Assumptions!C7</f>
        <v/>
      </c>
      <c r="D103" s="57">
        <f>D100/Assumptions!C7</f>
        <v/>
      </c>
      <c r="E103" s="49" t="n"/>
      <c r="F103" s="49" t="n"/>
      <c r="G103" s="49" t="n"/>
      <c r="H103" s="49" t="n"/>
    </row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1">
    <mergeCell ref="B2:H2"/>
  </mergeCells>
  <pageMargins left="0.4" right="0.4" top="0.5" bottom="0.5" header="0" footer="0"/>
  <pageSetup orientation="landscape" paperSize="9" fitToHeight="0" fitToWidth="1"/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F44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baseColWidth="8" defaultColWidth="14.43" defaultRowHeight="15" customHeight="1"/>
  <cols>
    <col width="2" customWidth="1" style="48" min="1" max="1"/>
    <col width="56" customWidth="1" style="48" min="2" max="2"/>
    <col width="14" customWidth="1" style="48" min="3" max="5"/>
    <col width="60" customWidth="1" style="48" min="6" max="6"/>
    <col width="8.710000000000001" customWidth="1" style="48" min="7" max="26"/>
  </cols>
  <sheetData>
    <row r="1">
      <c r="A1" s="49" t="n"/>
      <c r="B1" s="49" t="n"/>
      <c r="C1" s="49" t="n"/>
      <c r="D1" s="49" t="n"/>
      <c r="E1" s="49" t="n"/>
      <c r="F1" s="49" t="n"/>
    </row>
    <row r="2">
      <c r="A2" s="49" t="n"/>
      <c r="B2" s="58" t="inlineStr">
        <is>
          <t>Soft Costs — Design, Engineering, Approvals, Permits</t>
        </is>
      </c>
    </row>
    <row r="3" ht="27.75" customHeight="1" s="48">
      <c r="A3" s="49" t="n"/>
      <c r="B3" s="80" t="inlineStr">
        <is>
          <t>Cost Center</t>
        </is>
      </c>
      <c r="C3" s="80" t="inlineStr">
        <is>
          <t>Original ($)</t>
        </is>
      </c>
      <c r="D3" s="80" t="inlineStr">
        <is>
          <t>Restated ($)</t>
        </is>
      </c>
      <c r="E3" s="80" t="inlineStr">
        <is>
          <t>Variance ($)</t>
        </is>
      </c>
      <c r="F3" s="80" t="inlineStr">
        <is>
          <t>Basis / Source</t>
        </is>
      </c>
    </row>
    <row r="4">
      <c r="A4" s="49" t="n"/>
      <c r="B4" s="55" t="inlineStr">
        <is>
          <t>DESIGN &amp; PROFESSIONAL</t>
        </is>
      </c>
      <c r="C4" s="55" t="n"/>
      <c r="D4" s="55" t="n"/>
      <c r="E4" s="55" t="n"/>
      <c r="F4" s="55" t="n"/>
    </row>
    <row r="5">
      <c r="A5" s="49" t="n"/>
      <c r="B5" s="60" t="inlineStr">
        <is>
          <t>OLT architectural fees (carryover)</t>
        </is>
      </c>
      <c r="C5" s="63" t="n">
        <v>15500</v>
      </c>
      <c r="D5" s="63" t="n">
        <v>15500</v>
      </c>
      <c r="E5" s="57">
        <f>D5-C5</f>
        <v/>
      </c>
      <c r="F5" s="66" t="inlineStr">
        <is>
          <t>Already incurred / contracted; held at source.</t>
        </is>
      </c>
    </row>
    <row r="6">
      <c r="A6" s="49" t="n"/>
      <c r="B6" s="73" t="inlineStr">
        <is>
          <t>Architectural SD + DD</t>
        </is>
      </c>
      <c r="C6" s="63" t="n">
        <v>9000</v>
      </c>
      <c r="D6" s="63" t="n">
        <v>11000</v>
      </c>
      <c r="E6" s="57">
        <f>D6-C6</f>
        <v/>
      </c>
      <c r="F6" s="66" t="inlineStr">
        <is>
          <t>Two-building variation requires duplicated detailing; +22% premium typical for split lot.</t>
        </is>
      </c>
    </row>
    <row r="7">
      <c r="A7" s="49" t="n"/>
      <c r="B7" s="60" t="inlineStr">
        <is>
          <t>Architectural CD</t>
        </is>
      </c>
      <c r="C7" s="63" t="n">
        <v>14000</v>
      </c>
      <c r="D7" s="63" t="n">
        <v>16500</v>
      </c>
      <c r="E7" s="57">
        <f>D7-C7</f>
        <v/>
      </c>
      <c r="F7" s="66" t="inlineStr">
        <is>
          <t>Construction documents for two buildings.</t>
        </is>
      </c>
    </row>
    <row r="8">
      <c r="A8" s="49" t="n"/>
      <c r="B8" s="73" t="inlineStr">
        <is>
          <t>Architectural site visits / CA</t>
        </is>
      </c>
      <c r="C8" s="63" t="n">
        <v>4500</v>
      </c>
      <c r="D8" s="63" t="n">
        <v>6000</v>
      </c>
      <c r="E8" s="57">
        <f>D8-C8</f>
        <v/>
      </c>
      <c r="F8" s="66" t="inlineStr">
        <is>
          <t>OAA recommended Construction Administration scope minimum — 14-mo build.</t>
        </is>
      </c>
    </row>
    <row r="9">
      <c r="A9" s="49" t="n"/>
      <c r="B9" s="60" t="inlineStr">
        <is>
          <t>Structural engineering</t>
        </is>
      </c>
      <c r="C9" s="63" t="n">
        <v>4500</v>
      </c>
      <c r="D9" s="63" t="n">
        <v>6500</v>
      </c>
      <c r="E9" s="57">
        <f>D9-C9</f>
        <v/>
      </c>
      <c r="F9" s="66" t="inlineStr">
        <is>
          <t>Per stamped structural drawings — fee likely understated for two buildings.</t>
        </is>
      </c>
    </row>
    <row r="10">
      <c r="A10" s="49" t="n"/>
      <c r="B10" s="73" t="inlineStr">
        <is>
          <t>Mechanical engineering</t>
        </is>
      </c>
      <c r="C10" s="63" t="n">
        <v>4500</v>
      </c>
      <c r="D10" s="63" t="n">
        <v>5500</v>
      </c>
      <c r="E10" s="57">
        <f>D10-C10</f>
        <v/>
      </c>
      <c r="F10" s="66" t="n"/>
    </row>
    <row r="11">
      <c r="A11" s="49" t="n"/>
      <c r="B11" s="60" t="inlineStr">
        <is>
          <t>Electrical engineering</t>
        </is>
      </c>
      <c r="C11" s="63" t="n">
        <v>2500</v>
      </c>
      <c r="D11" s="63" t="n">
        <v>3500</v>
      </c>
      <c r="E11" s="57">
        <f>D11-C11</f>
        <v/>
      </c>
      <c r="F11" s="66" t="n"/>
    </row>
    <row r="12">
      <c r="A12" s="49" t="n"/>
      <c r="B12" s="73" t="inlineStr">
        <is>
          <t>Plumbing engineering (delegated design)</t>
        </is>
      </c>
      <c r="C12" s="63" t="n">
        <v>0</v>
      </c>
      <c r="D12" s="63" t="n">
        <v>2500</v>
      </c>
      <c r="E12" s="57">
        <f>D12-C12</f>
        <v/>
      </c>
      <c r="F12" s="66" t="inlineStr">
        <is>
          <t>Missing from source — required for &gt;5 fixture units to OBC.</t>
        </is>
      </c>
    </row>
    <row r="13">
      <c r="A13" s="49" t="n"/>
      <c r="B13" s="60" t="inlineStr">
        <is>
          <t>Geotechnical engineering</t>
        </is>
      </c>
      <c r="C13" s="63" t="n">
        <v>9500</v>
      </c>
      <c r="D13" s="63" t="n">
        <v>9500</v>
      </c>
      <c r="E13" s="57">
        <f>D13-C13</f>
        <v/>
      </c>
      <c r="F13" s="66" t="inlineStr">
        <is>
          <t>As per source — already engaged.</t>
        </is>
      </c>
    </row>
    <row r="14">
      <c r="A14" s="49" t="n"/>
      <c r="B14" s="73" t="inlineStr">
        <is>
          <t>Grading engineering</t>
        </is>
      </c>
      <c r="C14" s="63" t="n">
        <v>10500</v>
      </c>
      <c r="D14" s="63" t="n">
        <v>10500</v>
      </c>
      <c r="E14" s="57">
        <f>D14-C14</f>
        <v/>
      </c>
      <c r="F14" s="66" t="n"/>
    </row>
    <row r="15">
      <c r="A15" s="49" t="n"/>
      <c r="B15" s="60" t="inlineStr">
        <is>
          <t>Energy modeling for MLI (NRCAN H2K — 2 models for Bldg B, 1+ per Bldg A)</t>
        </is>
      </c>
      <c r="C15" s="63" t="n">
        <v>4500</v>
      </c>
      <c r="D15" s="63" t="n">
        <v>7500</v>
      </c>
      <c r="E15" s="57">
        <f>D15-C15</f>
        <v/>
      </c>
      <c r="F15" s="66" t="inlineStr">
        <is>
          <t>Per plan notes: multiple H2K energy models for Building B and Building A.</t>
        </is>
      </c>
    </row>
    <row r="16">
      <c r="A16" s="49" t="n"/>
      <c r="B16" s="73" t="inlineStr">
        <is>
          <t>Arborist + tree protection plan</t>
        </is>
      </c>
      <c r="C16" s="63" t="n">
        <v>1650</v>
      </c>
      <c r="D16" s="63" t="n">
        <v>2200</v>
      </c>
      <c r="E16" s="57">
        <f>D16-C16</f>
        <v/>
      </c>
      <c r="F16" s="66" t="inlineStr">
        <is>
          <t>Ottawa By-law 2020-340 tree replacement plan required.</t>
        </is>
      </c>
    </row>
    <row r="17">
      <c r="A17" s="49" t="n"/>
      <c r="B17" s="60" t="inlineStr">
        <is>
          <t>ESA Phase 1 (if needed)</t>
        </is>
      </c>
      <c r="C17" s="63" t="n">
        <v>3500</v>
      </c>
      <c r="D17" s="63" t="n">
        <v>3500</v>
      </c>
      <c r="E17" s="57">
        <f>D17-C17</f>
        <v/>
      </c>
      <c r="F17" s="66" t="inlineStr">
        <is>
          <t>Retained as contingency line.</t>
        </is>
      </c>
    </row>
    <row r="18">
      <c r="A18" s="49" t="n"/>
      <c r="B18" s="73" t="inlineStr">
        <is>
          <t>Quantity surveyor (CMHC requirement)</t>
        </is>
      </c>
      <c r="C18" s="63" t="n">
        <v>11250</v>
      </c>
      <c r="D18" s="63" t="n">
        <v>13500</v>
      </c>
      <c r="E18" s="57">
        <f>D18-C18</f>
        <v/>
      </c>
      <c r="F18" s="66" t="inlineStr">
        <is>
          <t>MLI Select demands cost certificates at each draw — typical Altus/Turner &amp; Townsend retainer for 6-unit project.</t>
        </is>
      </c>
    </row>
    <row r="19">
      <c r="A19" s="49" t="n"/>
      <c r="B19" s="60" t="inlineStr">
        <is>
          <t>Transportation impact (TIR) study</t>
        </is>
      </c>
      <c r="C19" s="63" t="n">
        <v>400</v>
      </c>
      <c r="D19" s="63" t="n">
        <v>400</v>
      </c>
      <c r="E19" s="57">
        <f>D19-C19</f>
        <v/>
      </c>
      <c r="F19" s="66" t="n"/>
    </row>
    <row r="20">
      <c r="A20" s="49" t="n"/>
      <c r="B20" s="73" t="inlineStr">
        <is>
          <t>OLT lawyer</t>
        </is>
      </c>
      <c r="C20" s="63" t="n">
        <v>14900</v>
      </c>
      <c r="D20" s="63" t="n">
        <v>14900</v>
      </c>
      <c r="E20" s="57">
        <f>D20-C20</f>
        <v/>
      </c>
      <c r="F20" s="66" t="n"/>
    </row>
    <row r="21" ht="15.75" customHeight="1" s="48">
      <c r="A21" s="49" t="n"/>
      <c r="B21" s="60" t="inlineStr">
        <is>
          <t>COA / planning legal</t>
        </is>
      </c>
      <c r="C21" s="63" t="n">
        <v>4500</v>
      </c>
      <c r="D21" s="63" t="n">
        <v>4500</v>
      </c>
      <c r="E21" s="57">
        <f>D21-C21</f>
        <v/>
      </c>
      <c r="F21" s="66" t="n"/>
    </row>
    <row r="22" ht="15.75" customHeight="1" s="48">
      <c r="A22" s="49" t="n"/>
      <c r="B22" s="73" t="inlineStr">
        <is>
          <t>Severance legal carryover</t>
        </is>
      </c>
      <c r="C22" s="63" t="n">
        <v>4000</v>
      </c>
      <c r="D22" s="63" t="n">
        <v>4000</v>
      </c>
      <c r="E22" s="57">
        <f>D22-C22</f>
        <v/>
      </c>
      <c r="F22" s="66" t="n"/>
    </row>
    <row r="23" ht="15.75" customHeight="1" s="48">
      <c r="A23" s="49" t="n"/>
      <c r="B23" s="60" t="inlineStr">
        <is>
          <t>Severance closing &amp; survey</t>
        </is>
      </c>
      <c r="C23" s="63" t="n">
        <v>13500</v>
      </c>
      <c r="D23" s="63" t="n">
        <v>13500</v>
      </c>
      <c r="E23" s="57">
        <f>D23-C23</f>
        <v/>
      </c>
      <c r="F23" s="66" t="n"/>
    </row>
    <row r="24" ht="15.75" customHeight="1" s="48">
      <c r="A24" s="49" t="n"/>
      <c r="B24" s="73" t="inlineStr">
        <is>
          <t>Survey of record</t>
        </is>
      </c>
      <c r="C24" s="63" t="n">
        <v>4500</v>
      </c>
      <c r="D24" s="63" t="n">
        <v>4500</v>
      </c>
      <c r="E24" s="57">
        <f>D24-C24</f>
        <v/>
      </c>
      <c r="F24" s="66" t="n"/>
    </row>
    <row r="25" ht="15.75" customHeight="1" s="48">
      <c r="A25" s="49" t="n"/>
      <c r="B25" s="60" t="inlineStr">
        <is>
          <t>Misc consultants</t>
        </is>
      </c>
      <c r="C25" s="63" t="n">
        <v>3500</v>
      </c>
      <c r="D25" s="63" t="n">
        <v>5000</v>
      </c>
      <c r="E25" s="57">
        <f>D25-C25</f>
        <v/>
      </c>
      <c r="F25" s="66" t="n"/>
    </row>
    <row r="26" ht="15.75" customHeight="1" s="48">
      <c r="A26" s="49" t="n"/>
      <c r="B26" s="56" t="inlineStr">
        <is>
          <t xml:space="preserve">  Subtotal — DESIGN &amp; PROFESSIONAL</t>
        </is>
      </c>
      <c r="C26" s="64">
        <f>SUM(C5:C25)</f>
        <v/>
      </c>
      <c r="D26" s="64">
        <f>SUM(D5:D25)</f>
        <v/>
      </c>
      <c r="E26" s="64">
        <f>D26-C26</f>
        <v/>
      </c>
      <c r="F26" s="49" t="n"/>
    </row>
    <row r="27" ht="15.75" customHeight="1" s="48">
      <c r="A27" s="49" t="n"/>
      <c r="B27" s="49" t="n"/>
      <c r="C27" s="49" t="n"/>
      <c r="D27" s="49" t="n"/>
      <c r="E27" s="49" t="n"/>
      <c r="F27" s="49" t="n"/>
    </row>
    <row r="28" ht="15.75" customHeight="1" s="48">
      <c r="A28" s="49" t="n"/>
      <c r="B28" s="55" t="inlineStr">
        <is>
          <t>MUNICIPAL PERMITS &amp; FEES</t>
        </is>
      </c>
      <c r="C28" s="55" t="n"/>
      <c r="D28" s="55" t="n"/>
      <c r="E28" s="55" t="n"/>
      <c r="F28" s="55" t="n"/>
    </row>
    <row r="29" ht="15.75" customHeight="1" s="48">
      <c r="A29" s="49" t="n"/>
      <c r="B29" s="60" t="inlineStr">
        <is>
          <t>Building permit + 7% surcharge</t>
        </is>
      </c>
      <c r="C29" s="57">
        <f>Assumptions!C29+Assumptions!C30</f>
        <v/>
      </c>
      <c r="D29" s="57">
        <f>Assumptions!C29+Assumptions!C30</f>
        <v/>
      </c>
      <c r="E29" s="57">
        <f>D29-C29</f>
        <v/>
      </c>
      <c r="F29" s="66" t="inlineStr">
        <is>
          <t>Linked to Assumptions B29/B30.</t>
        </is>
      </c>
    </row>
    <row r="30" ht="15.75" customHeight="1" s="48">
      <c r="A30" s="49" t="n"/>
      <c r="B30" s="73" t="inlineStr">
        <is>
          <t>Plumbing &amp; drainage permit</t>
        </is>
      </c>
      <c r="C30" s="63" t="n">
        <v>0</v>
      </c>
      <c r="D30" s="57">
        <f>Assumptions!C31</f>
        <v/>
      </c>
      <c r="E30" s="57">
        <f>D30-C30</f>
        <v/>
      </c>
      <c r="F30" s="66" t="inlineStr">
        <is>
          <t>Missing from source.</t>
        </is>
      </c>
    </row>
    <row r="31" ht="15.75" customHeight="1" s="48">
      <c r="A31" s="49" t="n"/>
      <c r="B31" s="60" t="inlineStr">
        <is>
          <t>HVAC / mechanical permit</t>
        </is>
      </c>
      <c r="C31" s="63" t="n">
        <v>0</v>
      </c>
      <c r="D31" s="57">
        <f>Assumptions!C32</f>
        <v/>
      </c>
      <c r="E31" s="57">
        <f>D31-C31</f>
        <v/>
      </c>
      <c r="F31" s="66" t="inlineStr">
        <is>
          <t>Missing from source.</t>
        </is>
      </c>
    </row>
    <row r="32" ht="15.75" customHeight="1" s="48">
      <c r="A32" s="49" t="n"/>
      <c r="B32" s="73" t="inlineStr">
        <is>
          <t>Zoning compliance review</t>
        </is>
      </c>
      <c r="C32" s="63" t="n">
        <v>0</v>
      </c>
      <c r="D32" s="57">
        <f>Assumptions!C33</f>
        <v/>
      </c>
      <c r="E32" s="57">
        <f>D32-C32</f>
        <v/>
      </c>
      <c r="F32" s="66" t="inlineStr">
        <is>
          <t>Missing from source.</t>
        </is>
      </c>
    </row>
    <row r="33" ht="15.75" customHeight="1" s="48">
      <c r="A33" s="49" t="n"/>
      <c r="B33" s="60" t="inlineStr">
        <is>
          <t>Demolition permit</t>
        </is>
      </c>
      <c r="C33" s="63" t="n">
        <v>0</v>
      </c>
      <c r="D33" s="57">
        <f>Assumptions!C34</f>
        <v/>
      </c>
      <c r="E33" s="57">
        <f>D33-C33</f>
        <v/>
      </c>
      <c r="F33" s="66" t="inlineStr">
        <is>
          <t>Missing from source.</t>
        </is>
      </c>
    </row>
    <row r="34" ht="15.75" customHeight="1" s="48">
      <c r="A34" s="49" t="n"/>
      <c r="B34" s="73" t="inlineStr">
        <is>
          <t>Road occupancy / encroachment</t>
        </is>
      </c>
      <c r="C34" s="63" t="n">
        <v>0</v>
      </c>
      <c r="D34" s="57">
        <f>Assumptions!C35</f>
        <v/>
      </c>
      <c r="E34" s="57">
        <f>D34-C34</f>
        <v/>
      </c>
      <c r="F34" s="66" t="inlineStr">
        <is>
          <t>Missing from source.</t>
        </is>
      </c>
    </row>
    <row r="35" ht="15.75" customHeight="1" s="48">
      <c r="A35" s="49" t="n"/>
      <c r="B35" s="60" t="inlineStr">
        <is>
          <t>Water / sewer connection fees</t>
        </is>
      </c>
      <c r="C35" s="63" t="n">
        <v>0</v>
      </c>
      <c r="D35" s="57">
        <f>Assumptions!C36</f>
        <v/>
      </c>
      <c r="E35" s="57">
        <f>D35-C35</f>
        <v/>
      </c>
      <c r="F35" s="66" t="inlineStr">
        <is>
          <t>Missing from source.</t>
        </is>
      </c>
    </row>
    <row r="36" ht="15.75" customHeight="1" s="48">
      <c r="A36" s="49" t="n"/>
      <c r="B36" s="73" t="inlineStr">
        <is>
          <t>Hydro Ottawa connection</t>
        </is>
      </c>
      <c r="C36" s="63" t="n">
        <v>2500</v>
      </c>
      <c r="D36" s="57">
        <f>Assumptions!C37</f>
        <v/>
      </c>
      <c r="E36" s="57">
        <f>D36-C36</f>
        <v/>
      </c>
      <c r="F36" s="66" t="n"/>
    </row>
    <row r="37" ht="15.75" customHeight="1" s="48">
      <c r="A37" s="49" t="n"/>
      <c r="B37" s="60" t="inlineStr">
        <is>
          <t>Gas service activation (Enbridge)</t>
        </is>
      </c>
      <c r="C37" s="63" t="n">
        <v>0</v>
      </c>
      <c r="D37" s="57">
        <f>Assumptions!C38</f>
        <v/>
      </c>
      <c r="E37" s="57">
        <f>D37-C37</f>
        <v/>
      </c>
      <c r="F37" s="66" t="inlineStr">
        <is>
          <t>Missing from source.</t>
        </is>
      </c>
    </row>
    <row r="38" ht="15.75" customHeight="1" s="48">
      <c r="A38" s="49" t="n"/>
      <c r="B38" s="56" t="inlineStr">
        <is>
          <t xml:space="preserve">  Subtotal — MUNICIPAL PERMITS &amp; FEES</t>
        </is>
      </c>
      <c r="C38" s="64">
        <f>SUM(C29:C37)</f>
        <v/>
      </c>
      <c r="D38" s="64">
        <f>SUM(D29:D37)</f>
        <v/>
      </c>
      <c r="E38" s="64">
        <f>D38-C38</f>
        <v/>
      </c>
      <c r="F38" s="49" t="n"/>
    </row>
    <row r="39" ht="15.75" customHeight="1" s="48">
      <c r="A39" s="49" t="n"/>
      <c r="B39" s="49" t="n"/>
      <c r="C39" s="49" t="n"/>
      <c r="D39" s="49" t="n"/>
      <c r="E39" s="49" t="n"/>
      <c r="F39" s="49" t="n"/>
    </row>
    <row r="40" ht="15.75" customHeight="1" s="48">
      <c r="A40" s="49" t="n"/>
      <c r="B40" s="55" t="inlineStr">
        <is>
          <t>SUPERVISION &amp; MANAGEMENT (built up in Summary)</t>
        </is>
      </c>
      <c r="C40" s="55" t="n"/>
      <c r="D40" s="55" t="n"/>
      <c r="E40" s="55" t="n"/>
      <c r="F40" s="55" t="n"/>
    </row>
    <row r="41" ht="15.75" customHeight="1" s="48">
      <c r="A41" s="49" t="n"/>
      <c r="B41" s="60" t="inlineStr">
        <is>
          <t>Note: PM/PC, supervision, overhead computed on % of hard+soft — see Summary tab</t>
        </is>
      </c>
      <c r="C41" s="49" t="n"/>
      <c r="D41" s="49" t="n"/>
      <c r="E41" s="49" t="n"/>
      <c r="F41" s="66" t="inlineStr">
        <is>
          <t>Cross-reference only.</t>
        </is>
      </c>
    </row>
    <row r="42" ht="15.75" customHeight="1" s="48">
      <c r="A42" s="49" t="n"/>
      <c r="B42" s="49" t="n"/>
      <c r="C42" s="49" t="n"/>
      <c r="D42" s="49" t="n"/>
      <c r="E42" s="49" t="n"/>
      <c r="F42" s="49" t="n"/>
    </row>
    <row r="43" ht="15.75" customHeight="1" s="48">
      <c r="A43" s="49" t="n"/>
      <c r="B43" s="49" t="n"/>
      <c r="C43" s="49" t="n"/>
      <c r="D43" s="49" t="n"/>
      <c r="E43" s="49" t="n"/>
      <c r="F43" s="49" t="n"/>
    </row>
    <row r="44" ht="15.75" customHeight="1" s="48">
      <c r="A44" s="49" t="n"/>
      <c r="B44" s="55" t="inlineStr">
        <is>
          <t>TOTAL SOFT COSTS (ex-management)</t>
        </is>
      </c>
      <c r="C44" s="67">
        <f>C26+C38</f>
        <v/>
      </c>
      <c r="D44" s="67">
        <f>D26+D38</f>
        <v/>
      </c>
      <c r="E44" s="67">
        <f>D44-C44</f>
        <v/>
      </c>
      <c r="F44" s="49" t="n"/>
    </row>
    <row r="45" ht="15.75" customHeight="1" s="48"/>
    <row r="46" ht="15.75" customHeight="1" s="48"/>
    <row r="47" ht="15.75" customHeight="1" s="48"/>
    <row r="48" ht="15.75" customHeight="1" s="48"/>
    <row r="49" ht="15.75" customHeight="1" s="48"/>
    <row r="50" ht="15.75" customHeight="1" s="48"/>
    <row r="51" ht="15.75" customHeight="1" s="48"/>
    <row r="52" ht="15.75" customHeight="1" s="48"/>
    <row r="53" ht="15.75" customHeight="1" s="48"/>
    <row r="54" ht="15.75" customHeight="1" s="48"/>
    <row r="55" ht="15.75" customHeight="1" s="48"/>
    <row r="56" ht="15.75" customHeight="1" s="48"/>
    <row r="57" ht="15.75" customHeight="1" s="48"/>
    <row r="58" ht="15.75" customHeight="1" s="48"/>
    <row r="59" ht="15.75" customHeight="1" s="48"/>
    <row r="60" ht="15.75" customHeight="1" s="48"/>
    <row r="61" ht="15.75" customHeight="1" s="48"/>
    <row r="62" ht="15.75" customHeight="1" s="48"/>
    <row r="63" ht="15.75" customHeight="1" s="48"/>
    <row r="64" ht="15.75" customHeight="1" s="48"/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1">
    <mergeCell ref="B2:F2"/>
  </mergeCells>
  <pageMargins left="0.4" right="0.4" top="0.5" bottom="0.5" header="0" footer="0"/>
  <pageSetup orientation="landscape" paperSize="9" fitToHeight="0" fitToWidth="1"/>
</worksheet>
</file>

<file path=xl/worksheets/sheet7.xml><?xml version="1.0" encoding="utf-8"?>
<worksheet xmlns="http://schemas.openxmlformats.org/spreadsheetml/2006/main">
  <sheetPr>
    <outlinePr summaryBelow="1" summaryRight="1"/>
    <pageSetUpPr fitToPage="1"/>
  </sheetPr>
  <dimension ref="A1:E16"/>
  <sheetViews>
    <sheetView showGridLines="0" workbookViewId="0">
      <selection activeCell="A1" sqref="A1"/>
    </sheetView>
  </sheetViews>
  <sheetFormatPr baseColWidth="8" defaultColWidth="14.43" defaultRowHeight="15" customHeight="1"/>
  <cols>
    <col width="2" customWidth="1" style="48" min="1" max="1"/>
    <col width="50" customWidth="1" style="48" min="2" max="2"/>
    <col width="16" customWidth="1" style="48" min="3" max="4"/>
    <col width="70" customWidth="1" style="48" min="5" max="5"/>
    <col width="8.710000000000001" customWidth="1" style="48" min="6" max="26"/>
  </cols>
  <sheetData>
    <row r="1">
      <c r="A1" s="49" t="n"/>
      <c r="B1" s="49" t="n"/>
      <c r="C1" s="49" t="n"/>
      <c r="D1" s="49" t="n"/>
      <c r="E1" s="49" t="n"/>
    </row>
    <row r="2">
      <c r="A2" s="49" t="n"/>
      <c r="B2" s="58" t="inlineStr">
        <is>
          <t>Land Acquisition &amp; Development Charges</t>
        </is>
      </c>
    </row>
    <row r="3">
      <c r="A3" s="49" t="n"/>
      <c r="B3" s="80" t="inlineStr">
        <is>
          <t>Item</t>
        </is>
      </c>
      <c r="C3" s="80" t="inlineStr">
        <is>
          <t>Original ($)</t>
        </is>
      </c>
      <c r="D3" s="80" t="inlineStr">
        <is>
          <t>Restated ($)</t>
        </is>
      </c>
      <c r="E3" s="80" t="inlineStr">
        <is>
          <t>Basis</t>
        </is>
      </c>
    </row>
    <row r="4">
      <c r="A4" s="49" t="n"/>
      <c r="B4" s="55" t="inlineStr">
        <is>
          <t>LAND</t>
        </is>
      </c>
      <c r="C4" s="55" t="n"/>
      <c r="D4" s="55" t="n"/>
      <c r="E4" s="55" t="n"/>
    </row>
    <row r="5">
      <c r="A5" s="49" t="n"/>
      <c r="B5" s="60" t="inlineStr">
        <is>
          <t>Land purchase</t>
        </is>
      </c>
      <c r="C5" s="63" t="n">
        <v>1070000</v>
      </c>
      <c r="D5" s="57">
        <f>Assumptions!C21</f>
        <v/>
      </c>
      <c r="E5" s="66" t="inlineStr">
        <is>
          <t>Held at source — acquired prior to budgeting.</t>
        </is>
      </c>
    </row>
    <row r="6">
      <c r="A6" s="49" t="n"/>
      <c r="B6" s="73" t="inlineStr">
        <is>
          <t>Ontario LTT (corrected)</t>
        </is>
      </c>
      <c r="C6" s="63" t="n">
        <v>8500</v>
      </c>
      <c r="D6" s="57">
        <f>Assumptions!C22</f>
        <v/>
      </c>
      <c r="E6" s="66" t="inlineStr">
        <is>
          <t>Source $8,500 understated. Statutory marginal rate on $1,070,000 = $17,875 (LTT Act R.S.O. 1990 c.L.6 s.2(1)). Variance vs source: +$9,375.</t>
        </is>
      </c>
    </row>
    <row r="7">
      <c r="A7" s="49" t="n"/>
      <c r="B7" s="60" t="inlineStr">
        <is>
          <t>Title insurance + disbursements</t>
        </is>
      </c>
      <c r="C7" s="63" t="n">
        <v>0</v>
      </c>
      <c r="D7" s="57">
        <f>Assumptions!C26</f>
        <v/>
      </c>
      <c r="E7" s="66" t="inlineStr">
        <is>
          <t>Not separately budgeted in source.</t>
        </is>
      </c>
    </row>
    <row r="8">
      <c r="A8" s="49" t="n"/>
      <c r="B8" s="56" t="inlineStr">
        <is>
          <t xml:space="preserve">  Subtotal — LAND</t>
        </is>
      </c>
      <c r="C8" s="64">
        <f>SUM(C5:C7)</f>
        <v/>
      </c>
      <c r="D8" s="64">
        <f>SUM(D5:D7)</f>
        <v/>
      </c>
      <c r="E8" s="49" t="n"/>
    </row>
    <row r="9">
      <c r="A9" s="49" t="n"/>
      <c r="B9" s="49" t="n"/>
      <c r="C9" s="49" t="n"/>
      <c r="D9" s="49" t="n"/>
      <c r="E9" s="49" t="n"/>
    </row>
    <row r="10">
      <c r="A10" s="49" t="n"/>
      <c r="B10" s="55" t="inlineStr">
        <is>
          <t>DEVELOPMENT CHARGES &amp; PARKLAND</t>
        </is>
      </c>
      <c r="C10" s="55" t="n"/>
      <c r="D10" s="55" t="n"/>
      <c r="E10" s="55" t="n"/>
    </row>
    <row r="11">
      <c r="A11" s="49" t="n"/>
      <c r="B11" s="60" t="inlineStr">
        <is>
          <t>Ottawa DC — total payable (net of exemptions &amp; credits)</t>
        </is>
      </c>
      <c r="C11" s="63" t="n">
        <v>44500</v>
      </c>
      <c r="D11" s="57">
        <f>Assumptions!C41</f>
        <v/>
      </c>
      <c r="E11" s="66" t="inlineStr">
        <is>
          <t>User-calibrated $50K total reflecting Bill 23 ARU exemption (DC Act s.2(3.2)), demolition credit for existing dwelling, and Ottawa 2026 schedule (eff. Apr 1, 2026; 3.6% BCPI-tied; avg -1% inside Greenbelt). a comparable Ottawa site comparable: 2 ADUs added to existing 21-unit building were essentially exempt under same statutory framework.</t>
        </is>
      </c>
    </row>
    <row r="12">
      <c r="A12" s="49" t="n"/>
      <c r="B12" s="73" t="inlineStr">
        <is>
          <t>Cash-in-lieu of parkland (buildings × $20K/main dwelling)</t>
        </is>
      </c>
      <c r="C12" s="63" t="n">
        <v>19000</v>
      </c>
      <c r="D12" s="57">
        <f>Assumptions!C5*Assumptions!C42</f>
        <v/>
      </c>
      <c r="E12" s="66" t="inlineStr">
        <is>
          <t>2 freehold triplexes × $20K each = $40K total. ADUs (2 per building = 4 ADUs total) are exempt from parkland dedication under Planning Act s.42(1.3-1.5) as amended by Bill 23. Dedicating count = number of main dwellings = number of buildings, not total units.</t>
        </is>
      </c>
    </row>
    <row r="13">
      <c r="A13" s="49" t="n"/>
      <c r="B13" s="60" t="inlineStr">
        <is>
          <t>OCDSB Education DC (main dwellings only; ADUs exempt)</t>
        </is>
      </c>
      <c r="C13" s="63" t="n">
        <v>19500</v>
      </c>
      <c r="D13" s="57">
        <f>Assumptions!C5*Assumptions!C43</f>
        <v/>
      </c>
      <c r="E13" s="66" t="inlineStr">
        <is>
          <t>2 main dwellings × $1,373 = $2,746. ADUs are exempt from Education DCs under Education Act s.257.54 as amended by Bill 23, paralleling the DC exemption. Source $19,500 over-stated.</t>
        </is>
      </c>
    </row>
    <row r="14">
      <c r="A14" s="49" t="n"/>
      <c r="B14" s="56" t="inlineStr">
        <is>
          <t xml:space="preserve">  Subtotal — DEVELOPMENT CHARGES &amp; PARKLAND</t>
        </is>
      </c>
      <c r="C14" s="64">
        <f>SUM(C11:C13)</f>
        <v/>
      </c>
      <c r="D14" s="64">
        <f>SUM(D11:D13)</f>
        <v/>
      </c>
      <c r="E14" s="49" t="n"/>
    </row>
    <row r="15">
      <c r="A15" s="49" t="n"/>
      <c r="B15" s="49" t="n"/>
      <c r="C15" s="49" t="n"/>
      <c r="D15" s="49" t="n"/>
      <c r="E15" s="49" t="n"/>
    </row>
    <row r="16">
      <c r="A16" s="49" t="n"/>
      <c r="B16" s="55" t="inlineStr">
        <is>
          <t>TOTAL LAND &amp; DEV CHARGES</t>
        </is>
      </c>
      <c r="C16" s="67">
        <f>C8+C14</f>
        <v/>
      </c>
      <c r="D16" s="67">
        <f>D8+D14</f>
        <v/>
      </c>
      <c r="E16" s="49" t="n"/>
    </row>
    <row r="21" ht="15.75" customHeight="1" s="48"/>
    <row r="22" ht="15.75" customHeight="1" s="48"/>
    <row r="23" ht="15.75" customHeight="1" s="48"/>
    <row r="24" ht="15.75" customHeight="1" s="48"/>
    <row r="25" ht="15.75" customHeight="1" s="48"/>
    <row r="26" ht="15.75" customHeight="1" s="48"/>
    <row r="27" ht="15.75" customHeight="1" s="48"/>
    <row r="28" ht="15.75" customHeight="1" s="48"/>
    <row r="29" ht="15.75" customHeight="1" s="48"/>
    <row r="30" ht="15.75" customHeight="1" s="48"/>
    <row r="31" ht="15.75" customHeight="1" s="48"/>
    <row r="32" ht="15.75" customHeight="1" s="48"/>
    <row r="33" ht="15.75" customHeight="1" s="48"/>
    <row r="34" ht="15.75" customHeight="1" s="48"/>
    <row r="35" ht="15.75" customHeight="1" s="48"/>
    <row r="36" ht="15.75" customHeight="1" s="48"/>
    <row r="37" ht="15.75" customHeight="1" s="48"/>
    <row r="38" ht="15.75" customHeight="1" s="48"/>
    <row r="39" ht="15.75" customHeight="1" s="48"/>
    <row r="40" ht="15.75" customHeight="1" s="48"/>
    <row r="41" ht="15.75" customHeight="1" s="48"/>
    <row r="42" ht="15.75" customHeight="1" s="48"/>
    <row r="43" ht="15.75" customHeight="1" s="48"/>
    <row r="44" ht="15.75" customHeight="1" s="48"/>
    <row r="45" ht="15.75" customHeight="1" s="48"/>
    <row r="46" ht="15.75" customHeight="1" s="48"/>
    <row r="47" ht="15.75" customHeight="1" s="48"/>
    <row r="48" ht="15.75" customHeight="1" s="48"/>
    <row r="49" ht="15.75" customHeight="1" s="48"/>
    <row r="50" ht="15.75" customHeight="1" s="48"/>
    <row r="51" ht="15.75" customHeight="1" s="48"/>
    <row r="52" ht="15.75" customHeight="1" s="48"/>
    <row r="53" ht="15.75" customHeight="1" s="48"/>
    <row r="54" ht="15.75" customHeight="1" s="48"/>
    <row r="55" ht="15.75" customHeight="1" s="48"/>
    <row r="56" ht="15.75" customHeight="1" s="48"/>
    <row r="57" ht="15.75" customHeight="1" s="48"/>
    <row r="58" ht="15.75" customHeight="1" s="48"/>
    <row r="59" ht="15.75" customHeight="1" s="48"/>
    <row r="60" ht="15.75" customHeight="1" s="48"/>
    <row r="61" ht="15.75" customHeight="1" s="48"/>
    <row r="62" ht="15.75" customHeight="1" s="48"/>
    <row r="63" ht="15.75" customHeight="1" s="48"/>
    <row r="64" ht="15.75" customHeight="1" s="48"/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1">
    <mergeCell ref="B2:E2"/>
  </mergeCells>
  <pageMargins left="0.4" right="0.4" top="0.5" bottom="0.5" header="0" footer="0"/>
  <pageSetup orientation="landscape" paperSize="9" fitToHeight="0" fitToWidth="1"/>
</worksheet>
</file>

<file path=xl/worksheets/sheet8.xml><?xml version="1.0" encoding="utf-8"?>
<worksheet xmlns="http://schemas.openxmlformats.org/spreadsheetml/2006/main">
  <sheetPr>
    <outlinePr summaryBelow="1" summaryRight="1"/>
    <pageSetUpPr fitToPage="1"/>
  </sheetPr>
  <dimension ref="A1:E14"/>
  <sheetViews>
    <sheetView showGridLines="0" workbookViewId="0">
      <selection activeCell="A1" sqref="A1"/>
    </sheetView>
  </sheetViews>
  <sheetFormatPr baseColWidth="8" defaultColWidth="14.43" defaultRowHeight="15" customHeight="1"/>
  <cols>
    <col width="2" customWidth="1" style="48" min="1" max="1"/>
    <col width="50" customWidth="1" style="48" min="2" max="2"/>
    <col width="14" customWidth="1" style="48" min="3" max="3"/>
    <col width="18" customWidth="1" style="48" min="4" max="4"/>
    <col width="60" customWidth="1" style="48" min="5" max="5"/>
    <col width="8.710000000000001" customWidth="1" style="48" min="6" max="26"/>
  </cols>
  <sheetData>
    <row r="1">
      <c r="A1" s="49" t="n"/>
      <c r="B1" s="49" t="n"/>
      <c r="C1" s="49" t="n"/>
      <c r="D1" s="49" t="n"/>
      <c r="E1" s="49" t="n"/>
    </row>
    <row r="2">
      <c r="A2" s="49" t="n"/>
      <c r="B2" s="58" t="inlineStr">
        <is>
          <t>Contingency Decomposition (replaces $375,000 lump sum)</t>
        </is>
      </c>
    </row>
    <row r="3">
      <c r="A3" s="49" t="n"/>
      <c r="B3" s="49" t="n"/>
      <c r="C3" s="49" t="n"/>
      <c r="D3" s="49" t="n"/>
      <c r="E3" s="49" t="n"/>
    </row>
    <row r="4" ht="30" customHeight="1" s="48">
      <c r="A4" s="49" t="n"/>
      <c r="B4" s="62" t="inlineStr">
        <is>
          <t>Source budget bundles $350K construction + $25K soft contingency. Best practice (AACE 18R-97; PMI 2022) decomposes by risk category.</t>
        </is>
      </c>
    </row>
    <row r="5">
      <c r="A5" s="49" t="n"/>
      <c r="B5" s="59" t="inlineStr">
        <is>
          <t>Component</t>
        </is>
      </c>
      <c r="C5" s="59" t="inlineStr">
        <is>
          <t>% Rate</t>
        </is>
      </c>
      <c r="D5" s="59" t="inlineStr">
        <is>
          <t>Amount ($)</t>
        </is>
      </c>
      <c r="E5" s="59" t="inlineStr">
        <is>
          <t>Justification</t>
        </is>
      </c>
    </row>
    <row r="6">
      <c r="A6" s="49" t="n"/>
      <c r="B6" s="73" t="inlineStr">
        <is>
          <t>Scope contingency (% of hard)</t>
        </is>
      </c>
      <c r="C6" s="61">
        <f>Assumptions!C15</f>
        <v/>
      </c>
      <c r="D6" s="57">
        <f>Hard_Costs!D100*Assumptions!C15</f>
        <v/>
      </c>
      <c r="E6" s="66" t="inlineStr">
        <is>
          <t>AACE 18R-97 Class-3 estimate band ±10%</t>
        </is>
      </c>
    </row>
    <row r="7">
      <c r="A7" s="49" t="n"/>
      <c r="B7" s="73" t="inlineStr">
        <is>
          <t>Escalation reserve (annualized × build months / 12)</t>
        </is>
      </c>
      <c r="C7" s="61">
        <f>Assumptions!C16*(Assumptions!C17/12)</f>
        <v/>
      </c>
      <c r="D7" s="57">
        <f>Hard_Costs!D100*Assumptions!C16*(Assumptions!C17/12)</f>
        <v/>
      </c>
      <c r="E7" s="66" t="inlineStr">
        <is>
          <t>StatCan BCPI Ottawa CMA 2024Q4 trend</t>
        </is>
      </c>
    </row>
    <row r="8">
      <c r="A8" s="49" t="n"/>
      <c r="B8" s="73" t="inlineStr">
        <is>
          <t>Soft cost contingency (5% of soft)</t>
        </is>
      </c>
      <c r="C8" s="85" t="n">
        <v>0.05</v>
      </c>
      <c r="D8" s="57">
        <f>Soft_Costs!D44*0.05</f>
        <v/>
      </c>
      <c r="E8" s="66" t="inlineStr">
        <is>
          <t>Smaller exposure on procured services / fixed fees</t>
        </is>
      </c>
    </row>
    <row r="9">
      <c r="A9" s="49" t="n"/>
      <c r="B9" s="73" t="inlineStr">
        <is>
          <t>Owner reserve (% of hard+soft)</t>
        </is>
      </c>
      <c r="C9" s="61">
        <f>Assumptions!C18</f>
        <v/>
      </c>
      <c r="D9" s="57">
        <f>(Hard_Costs!D100+Soft_Costs!D44)*Assumptions!C18</f>
        <v/>
      </c>
      <c r="E9" s="66" t="inlineStr">
        <is>
          <t>Owner discretion change orders; PMI Construction Extension 2022</t>
        </is>
      </c>
    </row>
    <row r="10">
      <c r="A10" s="49" t="n"/>
      <c r="B10" s="49" t="n"/>
      <c r="C10" s="49" t="n"/>
      <c r="D10" s="49" t="n"/>
      <c r="E10" s="49" t="n"/>
    </row>
    <row r="11">
      <c r="A11" s="49" t="n"/>
      <c r="B11" s="55" t="inlineStr">
        <is>
          <t>TOTAL CONTINGENCY</t>
        </is>
      </c>
      <c r="C11" s="49" t="n"/>
      <c r="D11" s="67">
        <f>SUM(D6:D9)</f>
        <v/>
      </c>
      <c r="E11" s="49" t="n"/>
    </row>
    <row r="12">
      <c r="A12" s="49" t="n"/>
      <c r="B12" s="49" t="n"/>
      <c r="C12" s="49" t="n"/>
      <c r="D12" s="49" t="n"/>
      <c r="E12" s="49" t="n"/>
    </row>
    <row r="13">
      <c r="A13" s="49" t="n"/>
      <c r="B13" s="82" t="inlineStr">
        <is>
          <t>Source budget contingency (construction $350K + soft $25K)</t>
        </is>
      </c>
      <c r="C13" s="49" t="n"/>
      <c r="D13" s="63" t="n">
        <v>375000</v>
      </c>
      <c r="E13" s="49" t="n"/>
    </row>
    <row r="14">
      <c r="A14" s="49" t="n"/>
      <c r="B14" s="82" t="inlineStr">
        <is>
          <t>Variance vs source</t>
        </is>
      </c>
      <c r="C14" s="49" t="n"/>
      <c r="D14" s="57">
        <f>D11-D13</f>
        <v/>
      </c>
      <c r="E14" s="49" t="n"/>
    </row>
    <row r="21" ht="15.75" customHeight="1" s="48"/>
    <row r="22" ht="15.75" customHeight="1" s="48"/>
    <row r="23" ht="15.75" customHeight="1" s="48"/>
    <row r="24" ht="15.75" customHeight="1" s="48"/>
    <row r="25" ht="15.75" customHeight="1" s="48"/>
    <row r="26" ht="15.75" customHeight="1" s="48"/>
    <row r="27" ht="15.75" customHeight="1" s="48"/>
    <row r="28" ht="15.75" customHeight="1" s="48"/>
    <row r="29" ht="15.75" customHeight="1" s="48"/>
    <row r="30" ht="15.75" customHeight="1" s="48"/>
    <row r="31" ht="15.75" customHeight="1" s="48"/>
    <row r="32" ht="15.75" customHeight="1" s="48"/>
    <row r="33" ht="15.75" customHeight="1" s="48"/>
    <row r="34" ht="15.75" customHeight="1" s="48"/>
    <row r="35" ht="15.75" customHeight="1" s="48"/>
    <row r="36" ht="15.75" customHeight="1" s="48"/>
    <row r="37" ht="15.75" customHeight="1" s="48"/>
    <row r="38" ht="15.75" customHeight="1" s="48"/>
    <row r="39" ht="15.75" customHeight="1" s="48"/>
    <row r="40" ht="15.75" customHeight="1" s="48"/>
    <row r="41" ht="15.75" customHeight="1" s="48"/>
    <row r="42" ht="15.75" customHeight="1" s="48"/>
    <row r="43" ht="15.75" customHeight="1" s="48"/>
    <row r="44" ht="15.75" customHeight="1" s="48"/>
    <row r="45" ht="15.75" customHeight="1" s="48"/>
    <row r="46" ht="15.75" customHeight="1" s="48"/>
    <row r="47" ht="15.75" customHeight="1" s="48"/>
    <row r="48" ht="15.75" customHeight="1" s="48"/>
    <row r="49" ht="15.75" customHeight="1" s="48"/>
    <row r="50" ht="15.75" customHeight="1" s="48"/>
    <row r="51" ht="15.75" customHeight="1" s="48"/>
    <row r="52" ht="15.75" customHeight="1" s="48"/>
    <row r="53" ht="15.75" customHeight="1" s="48"/>
    <row r="54" ht="15.75" customHeight="1" s="48"/>
    <row r="55" ht="15.75" customHeight="1" s="48"/>
    <row r="56" ht="15.75" customHeight="1" s="48"/>
    <row r="57" ht="15.75" customHeight="1" s="48"/>
    <row r="58" ht="15.75" customHeight="1" s="48"/>
    <row r="59" ht="15.75" customHeight="1" s="48"/>
    <row r="60" ht="15.75" customHeight="1" s="48"/>
    <row r="61" ht="15.75" customHeight="1" s="48"/>
    <row r="62" ht="15.75" customHeight="1" s="48"/>
    <row r="63" ht="15.75" customHeight="1" s="48"/>
    <row r="64" ht="15.75" customHeight="1" s="48"/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2">
    <mergeCell ref="B2:E2"/>
    <mergeCell ref="B4:E4"/>
  </mergeCells>
  <pageMargins left="0.4" right="0.4" top="0.5" bottom="0.5" header="0" footer="0"/>
  <pageSetup orientation="landscape" paperSize="9" fitToHeight="0" fitToWidth="1"/>
</worksheet>
</file>

<file path=xl/worksheets/sheet9.xml><?xml version="1.0" encoding="utf-8"?>
<worksheet xmlns="http://schemas.openxmlformats.org/spreadsheetml/2006/main">
  <sheetPr>
    <outlinePr summaryBelow="1" summaryRight="1"/>
    <pageSetUpPr fitToPage="1"/>
  </sheetPr>
  <dimension ref="A1:E22"/>
  <sheetViews>
    <sheetView showGridLines="0" workbookViewId="0">
      <selection activeCell="A1" sqref="A1"/>
    </sheetView>
  </sheetViews>
  <sheetFormatPr baseColWidth="8" defaultColWidth="14.43" defaultRowHeight="15" customHeight="1"/>
  <cols>
    <col width="2" customWidth="1" style="48" min="1" max="1"/>
    <col width="50" customWidth="1" style="48" min="2" max="2"/>
    <col width="18" customWidth="1" style="48" min="3" max="3"/>
    <col width="4" customWidth="1" style="48" min="4" max="4"/>
    <col width="50" customWidth="1" style="48" min="5" max="5"/>
    <col width="8.710000000000001" customWidth="1" style="48" min="6" max="26"/>
  </cols>
  <sheetData>
    <row r="1">
      <c r="A1" s="49" t="n"/>
      <c r="B1" s="49" t="n"/>
      <c r="C1" s="49" t="n"/>
      <c r="D1" s="49" t="n"/>
      <c r="E1" s="49" t="n"/>
    </row>
    <row r="2">
      <c r="A2" s="49" t="n"/>
      <c r="B2" s="58" t="inlineStr">
        <is>
          <t>Construction Financing Model</t>
        </is>
      </c>
    </row>
    <row r="3">
      <c r="A3" s="49" t="n"/>
      <c r="B3" s="49" t="n"/>
      <c r="C3" s="49" t="n"/>
      <c r="D3" s="49" t="n"/>
      <c r="E3" s="49" t="n"/>
    </row>
    <row r="4">
      <c r="A4" s="49" t="n"/>
      <c r="B4" s="55" t="inlineStr">
        <is>
          <t>Inputs (linked to Assumptions)</t>
        </is>
      </c>
    </row>
    <row r="5">
      <c r="A5" s="49" t="n"/>
      <c r="B5" s="73" t="inlineStr">
        <is>
          <t>Construction loan size</t>
        </is>
      </c>
      <c r="C5" s="57">
        <f>Assumptions!C55</f>
        <v/>
      </c>
      <c r="D5" s="49" t="n"/>
      <c r="E5" s="49" t="n"/>
    </row>
    <row r="6">
      <c r="A6" s="49" t="n"/>
      <c r="B6" s="73" t="inlineStr">
        <is>
          <t>Annualized rate</t>
        </is>
      </c>
      <c r="C6" s="61">
        <f>Assumptions!C50</f>
        <v/>
      </c>
      <c r="D6" s="49" t="n"/>
      <c r="E6" s="49" t="n"/>
    </row>
    <row r="7">
      <c r="A7" s="49" t="n"/>
      <c r="B7" s="73" t="inlineStr">
        <is>
          <t>Build duration (months)</t>
        </is>
      </c>
      <c r="C7" s="75">
        <f>Assumptions!C17</f>
        <v/>
      </c>
      <c r="D7" s="49" t="n"/>
      <c r="E7" s="49" t="n"/>
    </row>
    <row r="8">
      <c r="A8" s="49" t="n"/>
      <c r="B8" s="73" t="inlineStr">
        <is>
          <t>Average draw utilization</t>
        </is>
      </c>
      <c r="C8" s="61">
        <f>Assumptions!C51</f>
        <v/>
      </c>
      <c r="D8" s="49" t="n"/>
      <c r="E8" s="49" t="n"/>
    </row>
    <row r="9">
      <c r="A9" s="49" t="n"/>
      <c r="B9" s="73" t="inlineStr">
        <is>
          <t>Commitment fee rate</t>
        </is>
      </c>
      <c r="C9" s="61">
        <f>Assumptions!C52</f>
        <v/>
      </c>
      <c r="D9" s="49" t="n"/>
      <c r="E9" s="49" t="n"/>
    </row>
    <row r="10">
      <c r="A10" s="49" t="n"/>
      <c r="B10" s="73" t="inlineStr">
        <is>
          <t>Refinance fee on takeout</t>
        </is>
      </c>
      <c r="C10" s="61">
        <f>Assumptions!C54</f>
        <v/>
      </c>
      <c r="D10" s="49" t="n"/>
      <c r="E10" s="49" t="n"/>
    </row>
    <row r="11">
      <c r="A11" s="49" t="n"/>
      <c r="B11" s="49" t="n"/>
      <c r="C11" s="49" t="n"/>
      <c r="D11" s="49" t="n"/>
      <c r="E11" s="49" t="n"/>
    </row>
    <row r="12">
      <c r="A12" s="49" t="n"/>
      <c r="B12" s="55" t="inlineStr">
        <is>
          <t>Outputs</t>
        </is>
      </c>
    </row>
    <row r="13">
      <c r="A13" s="49" t="n"/>
      <c r="B13" s="81" t="inlineStr">
        <is>
          <t>Construction interest reserve</t>
        </is>
      </c>
      <c r="C13" s="57">
        <f>C5*C6*(C7/12)*C8</f>
        <v/>
      </c>
      <c r="D13" s="49" t="n"/>
      <c r="E13" s="49" t="n"/>
    </row>
    <row r="14">
      <c r="A14" s="49" t="n"/>
      <c r="B14" s="73" t="inlineStr">
        <is>
          <t>Commitment fees</t>
        </is>
      </c>
      <c r="C14" s="57">
        <f>C5*C9</f>
        <v/>
      </c>
      <c r="D14" s="49" t="n"/>
      <c r="E14" s="49" t="n"/>
    </row>
    <row r="15">
      <c r="A15" s="49" t="n"/>
      <c r="B15" s="73" t="inlineStr">
        <is>
          <t>Lender legal / appraisal / QS / inspections</t>
        </is>
      </c>
      <c r="C15" s="57">
        <f>Assumptions!C53</f>
        <v/>
      </c>
      <c r="D15" s="49" t="n"/>
      <c r="E15" s="49" t="n"/>
    </row>
    <row r="16">
      <c r="A16" s="49" t="n"/>
      <c r="B16" s="73" t="inlineStr">
        <is>
          <t>Admin / misc</t>
        </is>
      </c>
      <c r="C16" s="63" t="n">
        <v>4500</v>
      </c>
      <c r="D16" s="49" t="n"/>
      <c r="E16" s="49" t="n"/>
    </row>
    <row r="17">
      <c r="A17" s="49" t="n"/>
      <c r="B17" s="81" t="inlineStr">
        <is>
          <t>Post-construction refinance fee (CMHC MLI premium)</t>
        </is>
      </c>
      <c r="C17" s="57">
        <f>C5*C10</f>
        <v/>
      </c>
      <c r="D17" s="49" t="n"/>
      <c r="E17" s="49" t="n"/>
    </row>
    <row r="18">
      <c r="A18" s="49" t="n"/>
      <c r="B18" s="49" t="n"/>
      <c r="C18" s="49" t="n"/>
      <c r="D18" s="49" t="n"/>
      <c r="E18" s="49" t="n"/>
    </row>
    <row r="19">
      <c r="A19" s="49" t="n"/>
      <c r="B19" s="55" t="inlineStr">
        <is>
          <t>TOTAL FINANCING COST</t>
        </is>
      </c>
      <c r="C19" s="67">
        <f>C13+C14+C15+C16+C17</f>
        <v/>
      </c>
      <c r="D19" s="49" t="n"/>
      <c r="E19" s="49" t="n"/>
    </row>
    <row r="20">
      <c r="A20" s="49" t="n"/>
      <c r="B20" s="49" t="n"/>
      <c r="C20" s="49" t="n"/>
      <c r="D20" s="49" t="n"/>
      <c r="E20" s="49" t="n"/>
    </row>
    <row r="21" ht="15.75" customHeight="1" s="48">
      <c r="A21" s="49" t="n"/>
      <c r="B21" s="82" t="inlineStr">
        <is>
          <t>Source budget financing (interest + commitment + admin + refi + adj)</t>
        </is>
      </c>
      <c r="C21" s="63" t="n">
        <v>387500</v>
      </c>
      <c r="D21" s="49" t="n"/>
      <c r="E21" s="49" t="n"/>
    </row>
    <row r="22" ht="15.75" customHeight="1" s="48">
      <c r="A22" s="49" t="n"/>
      <c r="B22" s="82" t="inlineStr">
        <is>
          <t>Variance ($)</t>
        </is>
      </c>
      <c r="C22" s="57">
        <f>C19-C21</f>
        <v/>
      </c>
      <c r="D22" s="49" t="n"/>
      <c r="E22" s="49" t="n"/>
    </row>
    <row r="23" ht="15.75" customHeight="1" s="48"/>
    <row r="24" ht="15.75" customHeight="1" s="48"/>
    <row r="25" ht="15.75" customHeight="1" s="48"/>
    <row r="26" ht="15.75" customHeight="1" s="48"/>
    <row r="27" ht="15.75" customHeight="1" s="48"/>
    <row r="28" ht="15.75" customHeight="1" s="48"/>
    <row r="29" ht="15.75" customHeight="1" s="48"/>
    <row r="30" ht="15.75" customHeight="1" s="48"/>
    <row r="31" ht="15.75" customHeight="1" s="48"/>
    <row r="32" ht="15.75" customHeight="1" s="48"/>
    <row r="33" ht="15.75" customHeight="1" s="48"/>
    <row r="34" ht="15.75" customHeight="1" s="48"/>
    <row r="35" ht="15.75" customHeight="1" s="48"/>
    <row r="36" ht="15.75" customHeight="1" s="48"/>
    <row r="37" ht="15.75" customHeight="1" s="48"/>
    <row r="38" ht="15.75" customHeight="1" s="48"/>
    <row r="39" ht="15.75" customHeight="1" s="48"/>
    <row r="40" ht="15.75" customHeight="1" s="48"/>
    <row r="41" ht="15.75" customHeight="1" s="48"/>
    <row r="42" ht="15.75" customHeight="1" s="48"/>
    <row r="43" ht="15.75" customHeight="1" s="48"/>
    <row r="44" ht="15.75" customHeight="1" s="48"/>
    <row r="45" ht="15.75" customHeight="1" s="48"/>
    <row r="46" ht="15.75" customHeight="1" s="48"/>
    <row r="47" ht="15.75" customHeight="1" s="48"/>
    <row r="48" ht="15.75" customHeight="1" s="48"/>
    <row r="49" ht="15.75" customHeight="1" s="48"/>
    <row r="50" ht="15.75" customHeight="1" s="48"/>
    <row r="51" ht="15.75" customHeight="1" s="48"/>
    <row r="52" ht="15.75" customHeight="1" s="48"/>
    <row r="53" ht="15.75" customHeight="1" s="48"/>
    <row r="54" ht="15.75" customHeight="1" s="48"/>
    <row r="55" ht="15.75" customHeight="1" s="48"/>
    <row r="56" ht="15.75" customHeight="1" s="48"/>
    <row r="57" ht="15.75" customHeight="1" s="48"/>
    <row r="58" ht="15.75" customHeight="1" s="48"/>
    <row r="59" ht="15.75" customHeight="1" s="48"/>
    <row r="60" ht="15.75" customHeight="1" s="48"/>
    <row r="61" ht="15.75" customHeight="1" s="48"/>
    <row r="62" ht="15.75" customHeight="1" s="48"/>
    <row r="63" ht="15.75" customHeight="1" s="48"/>
    <row r="64" ht="15.75" customHeight="1" s="48"/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3">
    <mergeCell ref="B12:E12"/>
    <mergeCell ref="B2:E2"/>
    <mergeCell ref="B4:E4"/>
  </mergeCells>
  <pageMargins left="0.4" right="0.4" top="0.5" bottom="0.5" header="0" footer="0"/>
  <pageSetup orientation="landscape" paperSize="9" fitToHeight="0" fitToWidth="1"/>
  <legacyDrawing xmlns:r="http://schemas.openxmlformats.org/officeDocument/2006/relationships" r:id="anysvml"/>
</worksheet>
</file>

<file path=xl/worksheets/sheet10.xml><?xml version="1.0" encoding="utf-8"?>
<worksheet xmlns="http://schemas.openxmlformats.org/spreadsheetml/2006/main">
  <sheetPr>
    <outlinePr summaryBelow="1" summaryRight="1"/>
    <pageSetUpPr fitToPage="1"/>
  </sheetPr>
  <dimension ref="A1:E39"/>
  <sheetViews>
    <sheetView showGridLines="0" workbookViewId="0">
      <selection activeCell="A1" sqref="A1"/>
    </sheetView>
  </sheetViews>
  <sheetFormatPr baseColWidth="8" defaultColWidth="14.43" defaultRowHeight="15" customHeight="1"/>
  <cols>
    <col width="2" customWidth="1" style="48" min="1" max="1"/>
    <col width="60" customWidth="1" style="48" min="2" max="2"/>
    <col width="20" customWidth="1" style="48" min="3" max="3"/>
    <col width="4" customWidth="1" style="48" min="4" max="4"/>
    <col width="40" customWidth="1" style="48" min="5" max="5"/>
    <col width="8.710000000000001" customWidth="1" style="48" min="6" max="26"/>
  </cols>
  <sheetData>
    <row r="1">
      <c r="A1" s="49" t="n"/>
      <c r="B1" s="49" t="n"/>
      <c r="C1" s="49" t="n"/>
      <c r="D1" s="49" t="n"/>
      <c r="E1" s="49" t="n"/>
    </row>
    <row r="2">
      <c r="A2" s="49" t="n"/>
      <c r="B2" s="58" t="inlineStr">
        <is>
          <t>HST Self-Supply Analysis — Three Scenarios (NRRP / PBRH / Unrecovered ITCs)</t>
        </is>
      </c>
    </row>
    <row r="3">
      <c r="A3" s="49" t="n"/>
      <c r="B3" s="49" t="n"/>
      <c r="C3" s="49" t="n"/>
      <c r="D3" s="49" t="n"/>
      <c r="E3" s="49" t="n"/>
    </row>
    <row r="4" ht="91.5" customHeight="1" s="48">
      <c r="A4" s="49" t="n"/>
      <c r="B4" s="62" t="inlineStr">
        <is>
          <t>Self-supply at substantial completion triggers HST on FMV of the residential complex per ETA s.191(3). Rebate mechanics depend on whether the project qualifies for the Purpose-Built Rental Housing rebate (PBRH, post-Sept 13 2023 starts, qualifying multiple-unit residential complex) or only the standard New Residential Rental Property rebate (NRRP). ITCs on construction-period inputs are a SEPARATE question — recoverable if the entity is a registrant and inputs are tied to the self-supply taxable event, NOT to the post-self-supply exempt rental use. The PBRH/NRRP determination is worth ~$109K under the current FMV assumption.</t>
        </is>
      </c>
    </row>
    <row r="5">
      <c r="A5" s="49" t="n"/>
      <c r="B5" s="49" t="n"/>
      <c r="C5" s="49" t="n"/>
      <c r="D5" s="49" t="n"/>
      <c r="E5" s="49" t="n"/>
    </row>
    <row r="6">
      <c r="A6" s="49" t="n"/>
      <c r="B6" s="55" t="inlineStr">
        <is>
          <t>INPUTS (linked to Assumptions)</t>
        </is>
      </c>
    </row>
    <row r="7">
      <c r="A7" s="49" t="n"/>
      <c r="B7" s="73" t="inlineStr">
        <is>
          <t>FMV per unit (excl HST on FMV per CRA RC4231)</t>
        </is>
      </c>
      <c r="C7" s="57">
        <f>Assumptions!C59</f>
        <v/>
      </c>
      <c r="D7" s="49" t="n"/>
      <c r="E7" s="49" t="n"/>
    </row>
    <row r="8">
      <c r="A8" s="49" t="n"/>
      <c r="B8" s="73" t="inlineStr">
        <is>
          <t>Total units</t>
        </is>
      </c>
      <c r="C8" s="75">
        <f>Assumptions!C7</f>
        <v/>
      </c>
      <c r="D8" s="49" t="n"/>
      <c r="E8" s="49" t="n"/>
    </row>
    <row r="9">
      <c r="A9" s="49" t="n"/>
      <c r="B9" s="73" t="inlineStr">
        <is>
          <t>Total deemed FMV</t>
        </is>
      </c>
      <c r="C9" s="57">
        <f>C7*C8</f>
        <v/>
      </c>
      <c r="D9" s="49" t="n"/>
      <c r="E9" s="49" t="n"/>
    </row>
    <row r="10">
      <c r="A10" s="49" t="n"/>
      <c r="B10" s="73" t="inlineStr">
        <is>
          <t>HST rate (federal 5% + Ontario 8%)</t>
        </is>
      </c>
      <c r="C10" s="61">
        <f>Assumptions!C58</f>
        <v/>
      </c>
      <c r="D10" s="49" t="n"/>
      <c r="E10" s="49" t="n"/>
    </row>
    <row r="11">
      <c r="A11" s="49" t="n"/>
      <c r="B11" s="56" t="inlineStr">
        <is>
          <t>Gross self-supply HST</t>
        </is>
      </c>
      <c r="C11" s="64">
        <f>C9*C10</f>
        <v/>
      </c>
      <c r="D11" s="49" t="n"/>
      <c r="E11" s="49" t="n"/>
    </row>
    <row r="12">
      <c r="A12" s="49" t="n"/>
      <c r="B12" s="49" t="n"/>
      <c r="C12" s="49" t="n"/>
      <c r="D12" s="49" t="n"/>
      <c r="E12" s="49" t="n"/>
    </row>
    <row r="13">
      <c r="A13" s="49" t="n"/>
      <c r="B13" s="55" t="inlineStr">
        <is>
          <t>SCENARIO A — Standard NRRP rebate (defensible base case)</t>
        </is>
      </c>
    </row>
    <row r="14" ht="30" customHeight="1" s="48">
      <c r="A14" s="49" t="n"/>
      <c r="B14" s="81" t="inlineStr">
        <is>
          <t>Federal NRRP per unit (36% × 5% × FMV; $6,300 cap at FMV ≤ $350K; phased to $0 at $450K)</t>
        </is>
      </c>
      <c r="C14" s="57">
        <f>IF(C7&lt;=350000,MIN(C7*0.05*0.36,6300),IF(C7&gt;=450000,0,MIN(6300*(450000-C7)/100000,C7*0.05*0.36)))</f>
        <v/>
      </c>
      <c r="D14" s="49" t="n"/>
      <c r="E14" s="49" t="n"/>
    </row>
    <row r="15">
      <c r="A15" s="49" t="n"/>
      <c r="B15" s="73" t="inlineStr">
        <is>
          <t>Ontario NRRP per unit (75% × 8% × FMV, $24,000 cap)</t>
        </is>
      </c>
      <c r="C15" s="57">
        <f>MIN(C7*0.08*0.75,24000)</f>
        <v/>
      </c>
      <c r="D15" s="49" t="n"/>
      <c r="E15" s="49" t="n"/>
    </row>
    <row r="16">
      <c r="A16" s="49" t="n"/>
      <c r="B16" s="82" t="inlineStr">
        <is>
          <t>Total NRRP per unit (A)</t>
        </is>
      </c>
      <c r="C16" s="64">
        <f>C14+C15</f>
        <v/>
      </c>
      <c r="D16" s="49" t="n"/>
      <c r="E16" s="49" t="n"/>
    </row>
    <row r="17">
      <c r="A17" s="49" t="n"/>
      <c r="B17" s="82" t="inlineStr">
        <is>
          <t>Total NRRP rebate across units (A)</t>
        </is>
      </c>
      <c r="C17" s="64">
        <f>C16*C8</f>
        <v/>
      </c>
      <c r="D17" s="49" t="n"/>
      <c r="E17" s="49" t="n"/>
    </row>
    <row r="18">
      <c r="A18" s="49" t="n"/>
      <c r="B18" s="55" t="inlineStr">
        <is>
          <t>NET self-supply HST burden — Scenario A</t>
        </is>
      </c>
      <c r="C18" s="67">
        <f>C11-C17</f>
        <v/>
      </c>
      <c r="D18" s="49" t="n"/>
      <c r="E18" s="49" t="n"/>
    </row>
    <row r="19">
      <c r="A19" s="49" t="n"/>
      <c r="B19" s="49" t="n"/>
      <c r="C19" s="49" t="n"/>
      <c r="D19" s="49" t="n"/>
      <c r="E19" s="49" t="n"/>
    </row>
    <row r="20">
      <c r="A20" s="49" t="n"/>
      <c r="B20" s="55" t="inlineStr">
        <is>
          <t>SCENARIO B — PBRH rebate (if qualifying MURC, not disqualified triplex)</t>
        </is>
      </c>
    </row>
    <row r="21" ht="15.75" customHeight="1" s="48">
      <c r="A21" s="49" t="n"/>
      <c r="B21" s="73" t="inlineStr">
        <is>
          <t>Federal PBRH rebate (100% of 5% federal HST, no cap)</t>
        </is>
      </c>
      <c r="C21" s="57">
        <f>C9*0.05</f>
        <v/>
      </c>
      <c r="D21" s="49" t="n"/>
      <c r="E21" s="49" t="n"/>
    </row>
    <row r="22" ht="15.75" customHeight="1" s="48">
      <c r="A22" s="49" t="n"/>
      <c r="B22" s="73" t="inlineStr">
        <is>
          <t>Ontario PBRH rebate (100% of 8% provincial HST, no cap)</t>
        </is>
      </c>
      <c r="C22" s="57">
        <f>C9*0.08</f>
        <v/>
      </c>
      <c r="D22" s="49" t="n"/>
      <c r="E22" s="49" t="n"/>
    </row>
    <row r="23" ht="15.75" customHeight="1" s="48">
      <c r="A23" s="49" t="n"/>
      <c r="B23" s="82" t="inlineStr">
        <is>
          <t>Total PBRH rebate</t>
        </is>
      </c>
      <c r="C23" s="64">
        <f>C21+C22</f>
        <v/>
      </c>
      <c r="D23" s="49" t="n"/>
      <c r="E23" s="49" t="n"/>
    </row>
    <row r="24" ht="15.75" customHeight="1" s="48">
      <c r="A24" s="49" t="n"/>
      <c r="B24" s="55" t="inlineStr">
        <is>
          <t>NET self-supply HST burden — Scenario B</t>
        </is>
      </c>
      <c r="C24" s="67">
        <f>C11-C23</f>
        <v/>
      </c>
      <c r="D24" s="49" t="n"/>
      <c r="E24" s="49" t="n"/>
    </row>
    <row r="25" ht="15.75" customHeight="1" s="48">
      <c r="A25" s="49" t="n"/>
      <c r="B25" s="49" t="n"/>
      <c r="C25" s="49" t="n"/>
      <c r="D25" s="49" t="n"/>
      <c r="E25" s="49" t="n"/>
    </row>
    <row r="26" ht="15.75" customHeight="1" s="48">
      <c r="A26" s="49" t="n"/>
      <c r="B26" s="55" t="inlineStr">
        <is>
          <t>SCENARIO C — Punitive: standard NRRP + unrecovered construction-input HST</t>
        </is>
      </c>
    </row>
    <row r="27" ht="30" customHeight="1" s="48">
      <c r="A27" s="49" t="n"/>
      <c r="B27" s="81" t="inlineStr">
        <is>
          <t>Unrecovered construction-input HST (13% on hard+soft, no ITC claim)</t>
        </is>
      </c>
      <c r="C27" s="57">
        <f>(Hard_Costs!D100+Soft_Costs!D44)*0.13</f>
        <v/>
      </c>
      <c r="D27" s="49" t="n"/>
      <c r="E27" s="49" t="n"/>
    </row>
    <row r="28" ht="15.75" customHeight="1" s="48">
      <c r="A28" s="49" t="n"/>
      <c r="B28" s="73" t="inlineStr">
        <is>
          <t>Plus: net self-supply HST after standard NRRP (= Scenario A)</t>
        </is>
      </c>
      <c r="C28" s="57">
        <f>C18</f>
        <v/>
      </c>
      <c r="D28" s="49" t="n"/>
      <c r="E28" s="49" t="n"/>
    </row>
    <row r="29" ht="15.75" customHeight="1" s="48">
      <c r="A29" s="49" t="n"/>
      <c r="B29" s="55" t="inlineStr">
        <is>
          <t>TOTAL HST drag — Scenario C</t>
        </is>
      </c>
      <c r="C29" s="67">
        <f>C27+C28</f>
        <v/>
      </c>
      <c r="D29" s="49" t="n"/>
      <c r="E29" s="49" t="n"/>
    </row>
    <row r="30" ht="15.75" customHeight="1" s="48">
      <c r="A30" s="49" t="n"/>
      <c r="B30" s="49" t="n"/>
      <c r="C30" s="49" t="n"/>
      <c r="D30" s="49" t="n"/>
      <c r="E30" s="49" t="n"/>
    </row>
    <row r="31" ht="15.75" customHeight="1" s="48">
      <c r="A31" s="49" t="n"/>
      <c r="B31" s="55" t="inlineStr">
        <is>
          <t>SELECTED SCENARIO (input letter at Assumptions!C60)</t>
        </is>
      </c>
    </row>
    <row r="32" ht="15.75" customHeight="1" s="48">
      <c r="A32" s="49" t="n"/>
      <c r="B32" s="73" t="inlineStr">
        <is>
          <t>Scenario in use</t>
        </is>
      </c>
      <c r="C32" s="83">
        <f>Assumptions!C60</f>
        <v/>
      </c>
      <c r="D32" s="49" t="n"/>
      <c r="E32" s="49" t="n"/>
    </row>
    <row r="33" ht="30" customHeight="1" s="48">
      <c r="A33" s="49" t="n"/>
      <c r="B33" s="84" t="inlineStr">
        <is>
          <t>Selected NET HST burden (flows to Summary as project cost line)</t>
        </is>
      </c>
      <c r="C33" s="67">
        <f t="array" ref="C33">CHOOSE(MATCH(Assumptions!C60,{"A","B","C"},0),C18,C24,C29)</f>
        <v/>
      </c>
      <c r="D33" s="49" t="n"/>
      <c r="E33" s="49" t="n"/>
    </row>
    <row r="34" ht="15.75" customHeight="1" s="48">
      <c r="A34" s="49" t="n"/>
      <c r="B34" s="49" t="n"/>
      <c r="C34" s="49" t="n"/>
      <c r="D34" s="49" t="n"/>
      <c r="E34" s="49" t="n"/>
    </row>
    <row r="35" ht="15.75" customHeight="1" s="48">
      <c r="A35" s="49" t="n"/>
      <c r="B35" s="69" t="inlineStr">
        <is>
          <t>Critical eligibility question (worth ~$109,200)</t>
        </is>
      </c>
    </row>
    <row r="36" ht="90" customHeight="1" s="48">
      <c r="A36" s="49" t="n"/>
      <c r="B36" s="62" t="inlineStr">
        <is>
          <t>PBRH is unavailable for condos, single-unit, duplexes, and triplexes per CRA Guide 19-3-9. Each building here is a freehold triplex (1 main + 2 ADUs). Two possible CRA parsings: (a) two disqualified triplexes → Scenario A applies, net HST burden = $109,200; (b) one integrated six-unit MURC → Scenario B may apply, net HST burden = $0. Tax counsel determination required. Until confirmed, default to Scenario A.</t>
        </is>
      </c>
    </row>
    <row r="37" ht="15.75" customHeight="1" s="48">
      <c r="A37" s="49" t="n"/>
      <c r="B37" s="49" t="n"/>
      <c r="C37" s="49" t="n"/>
      <c r="D37" s="49" t="n"/>
      <c r="E37" s="49" t="n"/>
    </row>
    <row r="38" ht="15.75" customHeight="1" s="48">
      <c r="A38" s="49" t="n"/>
      <c r="B38" s="69" t="inlineStr">
        <is>
          <t>ITC treatment of construction-period inputs</t>
        </is>
      </c>
    </row>
    <row r="39" ht="90" customHeight="1" s="48">
      <c r="A39" s="49" t="n"/>
      <c r="B39" s="62" t="inlineStr">
        <is>
          <t>If entity is GST/HST registrant constructing new housing for self-supply, ITCs may be claimed on construction-period inputs (CRA: 'GST/HST and home construction'). After self-supply, no further ITCs because long-term rental is exempt. Scenarios A and B assume ITCs are claimable and construction-input HST is recovered. Scenario C assumes input HST is unrecoverable — use only if tax counsel confirms.</t>
        </is>
      </c>
    </row>
    <row r="40" ht="15.75" customHeight="1" s="48"/>
    <row r="41" ht="15.75" customHeight="1" s="48"/>
    <row r="42" ht="15.75" customHeight="1" s="48"/>
    <row r="43" ht="15.75" customHeight="1" s="48"/>
    <row r="44" ht="15.75" customHeight="1" s="48"/>
    <row r="45" ht="15.75" customHeight="1" s="48"/>
    <row r="46" ht="15.75" customHeight="1" s="48"/>
    <row r="47" ht="15.75" customHeight="1" s="48"/>
    <row r="48" ht="15.75" customHeight="1" s="48"/>
    <row r="49" ht="15.75" customHeight="1" s="48"/>
    <row r="50" ht="15.75" customHeight="1" s="48"/>
    <row r="51" ht="15.75" customHeight="1" s="48"/>
    <row r="52" ht="15.75" customHeight="1" s="48"/>
    <row r="53" ht="15.75" customHeight="1" s="48"/>
    <row r="54" ht="15.75" customHeight="1" s="48"/>
    <row r="55" ht="15.75" customHeight="1" s="48"/>
    <row r="56" ht="15.75" customHeight="1" s="48"/>
    <row r="57" ht="15.75" customHeight="1" s="48"/>
    <row r="58" ht="15.75" customHeight="1" s="48"/>
    <row r="59" ht="15.75" customHeight="1" s="48"/>
    <row r="60" ht="15.75" customHeight="1" s="48"/>
    <row r="61" ht="15.75" customHeight="1" s="48"/>
    <row r="62" ht="15.75" customHeight="1" s="48"/>
    <row r="63" ht="15.75" customHeight="1" s="48"/>
    <row r="64" ht="15.75" customHeight="1" s="48"/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11">
    <mergeCell ref="B31:E31"/>
    <mergeCell ref="B26:E26"/>
    <mergeCell ref="B35:E35"/>
    <mergeCell ref="B4:E4"/>
    <mergeCell ref="B13:E13"/>
    <mergeCell ref="B6:E6"/>
    <mergeCell ref="B38:E38"/>
    <mergeCell ref="B39:E39"/>
    <mergeCell ref="B2:E2"/>
    <mergeCell ref="B20:E20"/>
    <mergeCell ref="B36:E36"/>
  </mergeCells>
  <pageMargins left="0.4" right="0.4" top="0.5" bottom="0.5" header="0" footer="0"/>
  <pageSetup orientation="landscape" paperSize="9" fitToHeight="0" fitToWidth="1"/>
  <legacyDrawing xmlns:r="http://schemas.openxmlformats.org/officeDocument/2006/relationships" r:id="anysvml"/>
</worksheet>
</file>

<file path=xl/worksheets/sheet11.xml><?xml version="1.0" encoding="utf-8"?>
<worksheet xmlns="http://schemas.openxmlformats.org/spreadsheetml/2006/main">
  <sheetPr>
    <outlinePr summaryBelow="1" summaryRight="1"/>
    <pageSetUpPr fitToPage="1"/>
  </sheetPr>
  <dimension ref="B2:F35"/>
  <sheetViews>
    <sheetView showGridLines="0" workbookViewId="0">
      <selection activeCell="A1" sqref="A1"/>
    </sheetView>
  </sheetViews>
  <sheetFormatPr baseColWidth="8" defaultRowHeight="15"/>
  <cols>
    <col width="2" customWidth="1" style="48" min="1" max="1"/>
    <col width="42" customWidth="1" style="48" min="2" max="2"/>
    <col width="22" customWidth="1" style="48" min="3" max="3"/>
    <col width="12" customWidth="1" style="48" min="4" max="4"/>
    <col width="12" customWidth="1" style="48" min="5" max="5"/>
    <col width="14" customWidth="1" style="48" min="6" max="6"/>
  </cols>
  <sheetData>
    <row r="2">
      <c r="B2" s="106" t="inlineStr">
        <is>
          <t>Stabilised Operating Pro-Forma</t>
        </is>
      </c>
    </row>
    <row r="3">
      <c r="B3" s="107" t="inlineStr">
        <is>
          <t>CMHC MLI Select underwriting basis — stabilised year-one operations.</t>
        </is>
      </c>
    </row>
    <row r="5" ht="22" customHeight="1" s="48">
      <c r="B5" s="94" t="inlineStr">
        <is>
          <t>REVENUE</t>
        </is>
      </c>
      <c r="C5" s="95" t="n"/>
      <c r="D5" s="95" t="n"/>
      <c r="E5" s="95" t="n"/>
      <c r="F5" s="95" t="n"/>
    </row>
    <row r="6" ht="24" customHeight="1" s="48">
      <c r="B6" s="110" t="inlineStr">
        <is>
          <t>Component</t>
        </is>
      </c>
      <c r="C6" s="111" t="inlineStr">
        <is>
          <t>Basis</t>
        </is>
      </c>
      <c r="D6" s="111" t="inlineStr">
        <is>
          <t>Units</t>
        </is>
      </c>
      <c r="E6" s="111" t="inlineStr">
        <is>
          <t>Rent / mo</t>
        </is>
      </c>
      <c r="F6" s="111" t="inlineStr">
        <is>
          <t>Annual</t>
        </is>
      </c>
    </row>
    <row r="7">
      <c r="B7" s="93" t="inlineStr">
        <is>
          <t>Residential — 4-bedroom suites</t>
        </is>
      </c>
      <c r="C7" s="112" t="inlineStr">
        <is>
          <t>1,049 SF avg · $3.72/SF</t>
        </is>
      </c>
      <c r="D7" s="113" t="n">
        <v>6</v>
      </c>
      <c r="E7" s="114" t="n">
        <v>3900</v>
      </c>
      <c r="F7" s="114" t="n">
        <v>280800</v>
      </c>
    </row>
    <row r="8">
      <c r="B8" s="93" t="inlineStr">
        <is>
          <t>Parking</t>
        </is>
      </c>
      <c r="C8" s="112" t="inlineStr">
        <is>
          <t>2 stalls</t>
        </is>
      </c>
      <c r="D8" s="113" t="n">
        <v>2</v>
      </c>
      <c r="E8" s="115" t="n">
        <v>87.5</v>
      </c>
      <c r="F8" s="114" t="n">
        <v>4200</v>
      </c>
    </row>
    <row r="9">
      <c r="B9" s="116" t="inlineStr">
        <is>
          <t>Gross potential revenue</t>
        </is>
      </c>
      <c r="C9" s="117" t="inlineStr"/>
      <c r="D9" s="117" t="inlineStr"/>
      <c r="E9" s="117" t="inlineStr"/>
      <c r="F9" s="118">
        <f>F7+F8</f>
        <v/>
      </c>
    </row>
    <row r="10">
      <c r="B10" s="93" t="inlineStr">
        <is>
          <t>Less: vacancy &amp; bad debt (3.0%)</t>
        </is>
      </c>
      <c r="C10" s="119" t="inlineStr">
        <is>
          <t>submarket 4-yr avg ~1.15%</t>
        </is>
      </c>
      <c r="F10" s="114">
        <f>-ROUND(F9*0.03,0)</f>
        <v/>
      </c>
    </row>
    <row r="11">
      <c r="B11" s="116" t="inlineStr">
        <is>
          <t>Effective gross revenue</t>
        </is>
      </c>
      <c r="C11" s="117" t="inlineStr"/>
      <c r="D11" s="117" t="inlineStr"/>
      <c r="E11" s="117" t="inlineStr"/>
      <c r="F11" s="118">
        <f>F9+F10</f>
        <v/>
      </c>
    </row>
    <row r="13" ht="22" customHeight="1" s="48">
      <c r="B13" s="94" t="inlineStr">
        <is>
          <t>OPERATING EXPENSES</t>
        </is>
      </c>
      <c r="C13" s="95" t="n"/>
      <c r="D13" s="95" t="n"/>
      <c r="E13" s="95" t="n"/>
      <c r="F13" s="95" t="n"/>
    </row>
    <row r="14" ht="24" customHeight="1" s="48">
      <c r="B14" s="110" t="inlineStr">
        <is>
          <t>Expense</t>
        </is>
      </c>
      <c r="C14" s="111" t="inlineStr">
        <is>
          <t>Basis</t>
        </is>
      </c>
      <c r="D14" s="111" t="inlineStr"/>
      <c r="E14" s="111" t="inlineStr">
        <is>
          <t>% EGR</t>
        </is>
      </c>
      <c r="F14" s="111" t="inlineStr">
        <is>
          <t>Per unit / Annual</t>
        </is>
      </c>
    </row>
    <row r="15">
      <c r="B15" s="93" t="inlineStr">
        <is>
          <t>Property taxes</t>
        </is>
      </c>
      <c r="C15" s="119" t="inlineStr">
        <is>
          <t>Per appraisal</t>
        </is>
      </c>
      <c r="E15" s="120" t="n">
        <v>0.0579</v>
      </c>
      <c r="F15" s="114" t="n">
        <v>16002</v>
      </c>
    </row>
    <row r="16">
      <c r="B16" s="93" t="inlineStr">
        <is>
          <t>Insurance</t>
        </is>
      </c>
      <c r="C16" s="119" t="inlineStr">
        <is>
          <t>Per appraisal</t>
        </is>
      </c>
      <c r="E16" s="120" t="n">
        <v>0.0125</v>
      </c>
      <c r="F16" s="114" t="n">
        <v>3450</v>
      </c>
    </row>
    <row r="17">
      <c r="B17" s="93" t="inlineStr">
        <is>
          <t>Internet</t>
        </is>
      </c>
      <c r="C17" s="119" t="inlineStr">
        <is>
          <t>Per appraisal</t>
        </is>
      </c>
      <c r="E17" s="120" t="n">
        <v>0.0076</v>
      </c>
      <c r="F17" s="114" t="n">
        <v>2100</v>
      </c>
    </row>
    <row r="18">
      <c r="B18" s="93" t="inlineStr">
        <is>
          <t>Utilities</t>
        </is>
      </c>
      <c r="C18" s="119" t="inlineStr">
        <is>
          <t>Per appraisal</t>
        </is>
      </c>
      <c r="E18" s="120" t="n">
        <v>0.06510000000000001</v>
      </c>
      <c r="F18" s="114" t="n">
        <v>18000</v>
      </c>
    </row>
    <row r="19">
      <c r="B19" s="93" t="inlineStr">
        <is>
          <t>Repairs &amp; maintenance</t>
        </is>
      </c>
      <c r="C19" s="119" t="inlineStr">
        <is>
          <t>CMHC wood benchmark (ON)</t>
        </is>
      </c>
      <c r="E19" s="120" t="n">
        <v>0.018</v>
      </c>
      <c r="F19" s="114" t="n">
        <v>4980</v>
      </c>
    </row>
    <row r="20">
      <c r="B20" s="93" t="inlineStr">
        <is>
          <t>Salaries</t>
        </is>
      </c>
      <c r="C20" s="119" t="inlineStr">
        <is>
          <t>CMHC wood benchmark (ON)</t>
        </is>
      </c>
      <c r="E20" s="120" t="n">
        <v>0.012</v>
      </c>
      <c r="F20" s="114" t="n">
        <v>3330</v>
      </c>
    </row>
    <row r="21">
      <c r="B21" s="93" t="inlineStr">
        <is>
          <t>Management</t>
        </is>
      </c>
      <c r="C21" s="119" t="inlineStr">
        <is>
          <t>CMHC wood benchmark (ON)</t>
        </is>
      </c>
      <c r="E21" s="120" t="n">
        <v>0.0425</v>
      </c>
      <c r="F21" s="114" t="n">
        <v>11749</v>
      </c>
    </row>
    <row r="22">
      <c r="B22" s="93" t="inlineStr">
        <is>
          <t>Other costs</t>
        </is>
      </c>
      <c r="C22" s="119" t="inlineStr">
        <is>
          <t>CMHC wood benchmark (ON)</t>
        </is>
      </c>
      <c r="E22" s="120" t="n">
        <v>0.01</v>
      </c>
      <c r="F22" s="114" t="n">
        <v>2765</v>
      </c>
    </row>
    <row r="23">
      <c r="B23" s="93" t="inlineStr">
        <is>
          <t>Reserve (5 appliances + heat pump)</t>
        </is>
      </c>
      <c r="C23" s="119" t="inlineStr">
        <is>
          <t>CMHC wood benchmark (ON)</t>
        </is>
      </c>
      <c r="E23" s="120" t="n">
        <v>0.0106</v>
      </c>
      <c r="F23" s="114" t="n">
        <v>2940</v>
      </c>
    </row>
    <row r="24">
      <c r="B24" s="116" t="inlineStr">
        <is>
          <t>Total operating expenses</t>
        </is>
      </c>
      <c r="C24" s="117" t="inlineStr"/>
      <c r="D24" s="117" t="inlineStr"/>
      <c r="E24" s="121">
        <f>SUM(E15:E23)</f>
        <v/>
      </c>
      <c r="F24" s="118">
        <f>SUM(F15:F23)</f>
        <v/>
      </c>
    </row>
    <row r="26" ht="22" customHeight="1" s="48">
      <c r="B26" s="94" t="inlineStr">
        <is>
          <t>NET OPERATING INCOME &amp; VALUE</t>
        </is>
      </c>
      <c r="C26" s="95" t="n"/>
      <c r="D26" s="95" t="n"/>
      <c r="E26" s="95" t="n"/>
      <c r="F26" s="95" t="n"/>
    </row>
    <row r="27">
      <c r="B27" s="122" t="inlineStr">
        <is>
          <t>Net operating income (NOI)</t>
        </is>
      </c>
      <c r="C27" s="123" t="inlineStr"/>
      <c r="D27" s="123" t="inlineStr"/>
      <c r="E27" s="123" t="inlineStr"/>
      <c r="F27" s="124">
        <f>F11-F24</f>
        <v/>
      </c>
    </row>
    <row r="28">
      <c r="B28" s="93" t="inlineStr">
        <is>
          <t>Applied capitalisation rate</t>
        </is>
      </c>
      <c r="F28" s="125" t="n">
        <v>0.05</v>
      </c>
    </row>
    <row r="29">
      <c r="B29" s="93" t="inlineStr">
        <is>
          <t>CMHC estimated value (stabilised)</t>
        </is>
      </c>
      <c r="F29" s="126" t="n">
        <v>4222688</v>
      </c>
    </row>
    <row r="30">
      <c r="B30" s="93" t="inlineStr">
        <is>
          <t>Value per residential unit</t>
        </is>
      </c>
      <c r="F30" s="126" t="n">
        <v>703781</v>
      </c>
    </row>
    <row r="31">
      <c r="B31" s="93" t="inlineStr">
        <is>
          <t>Breakeven rent per suite / month</t>
        </is>
      </c>
      <c r="F31" s="126" t="n">
        <v>3580</v>
      </c>
    </row>
    <row r="32">
      <c r="B32" s="93" t="inlineStr">
        <is>
          <t>Default point</t>
        </is>
      </c>
      <c r="F32" s="125" t="n">
        <v>0.9325</v>
      </c>
    </row>
    <row r="34" ht="42" customHeight="1" s="48">
      <c r="B34" s="105" t="inlineStr">
        <is>
          <t>NOI shown is the CMHC MLI Select underwriting estimate (stabilised year one). Value is NOI capitalised at 5.0%. Operating-expense benchmarks follow the CMHC Ontario wood-frame standard; taxes, insurance, internet and utilities are per appraisal.</t>
        </is>
      </c>
    </row>
    <row r="35"/>
  </sheetData>
  <mergeCells count="9">
    <mergeCell ref="C28:E28"/>
    <mergeCell ref="C31:E31"/>
    <mergeCell ref="B34:F35"/>
    <mergeCell ref="B5:F5"/>
    <mergeCell ref="C29:E29"/>
    <mergeCell ref="C30:E30"/>
    <mergeCell ref="B26:F26"/>
    <mergeCell ref="B13:F13"/>
    <mergeCell ref="C32:E32"/>
  </mergeCells>
  <pageMargins left="0.4" right="0.4" top="0.5" bottom="0.5" header="0.5" footer="0.5"/>
  <pageSetup fitToHeight="0" fitToWidth="1"/>
</worksheet>
</file>

<file path=xl/worksheets/sheet12.xml><?xml version="1.0" encoding="utf-8"?>
<worksheet xmlns="http://schemas.openxmlformats.org/spreadsheetml/2006/main">
  <sheetPr>
    <outlinePr summaryBelow="1" summaryRight="1"/>
    <pageSetUpPr fitToPage="1"/>
  </sheetPr>
  <dimension ref="B2:F30"/>
  <sheetViews>
    <sheetView showGridLines="0" workbookViewId="0">
      <selection activeCell="A1" sqref="A1"/>
    </sheetView>
  </sheetViews>
  <sheetFormatPr baseColWidth="8" defaultRowHeight="15"/>
  <cols>
    <col width="2" customWidth="1" style="48" min="1" max="1"/>
    <col width="42" customWidth="1" style="48" min="2" max="2"/>
    <col width="18" customWidth="1" style="48" min="3" max="3"/>
    <col width="4" customWidth="1" style="48" min="4" max="4"/>
    <col width="40" customWidth="1" style="48" min="5" max="5"/>
    <col width="18" customWidth="1" style="48" min="6" max="6"/>
  </cols>
  <sheetData>
    <row r="2">
      <c r="B2" s="106" t="inlineStr">
        <is>
          <t>CMHC Financing &amp; Value</t>
        </is>
      </c>
    </row>
    <row r="3">
      <c r="B3" s="107" t="inlineStr">
        <is>
          <t>MLI Select first-mortgage sizing, insurance premia and coverage.</t>
        </is>
      </c>
    </row>
    <row r="5" ht="22" customHeight="1" s="48">
      <c r="B5" s="94" t="inlineStr">
        <is>
          <t>FIRST MORTGAGE</t>
        </is>
      </c>
      <c r="C5" s="95" t="n"/>
      <c r="E5" s="94" t="inlineStr">
        <is>
          <t>CMHC FEES</t>
        </is>
      </c>
      <c r="F5" s="95" t="n"/>
    </row>
    <row r="6">
      <c r="B6" s="93" t="inlineStr">
        <is>
          <t>Loan amount</t>
        </is>
      </c>
      <c r="C6" s="126" t="n">
        <v>3320000</v>
      </c>
      <c r="E6" s="93" t="inlineStr">
        <is>
          <t>Net loan amount</t>
        </is>
      </c>
      <c r="F6" s="114" t="n">
        <v>3320000</v>
      </c>
    </row>
    <row r="7">
      <c r="B7" s="93" t="inlineStr">
        <is>
          <t>Loan-to-cost</t>
        </is>
      </c>
      <c r="C7" s="125" t="n">
        <v>0.95</v>
      </c>
      <c r="E7" s="93" t="inlineStr">
        <is>
          <t>Application fee</t>
        </is>
      </c>
      <c r="F7" s="114" t="n">
        <v>1200</v>
      </c>
    </row>
    <row r="8">
      <c r="B8" s="93" t="inlineStr">
        <is>
          <t>Loan-to-value</t>
        </is>
      </c>
      <c r="C8" s="125" t="n">
        <v>0.7862</v>
      </c>
      <c r="E8" s="93" t="inlineStr">
        <is>
          <t>CMHC premium (7.00%)</t>
        </is>
      </c>
      <c r="F8" s="114" t="n">
        <v>232400</v>
      </c>
    </row>
    <row r="9">
      <c r="B9" s="93" t="inlineStr">
        <is>
          <t>Interest rate</t>
        </is>
      </c>
      <c r="C9" s="127" t="n">
        <v>0.0395</v>
      </c>
      <c r="E9" s="93" t="inlineStr">
        <is>
          <t>Amortisation premium (0.75%)</t>
        </is>
      </c>
      <c r="F9" s="114" t="n">
        <v>24900</v>
      </c>
    </row>
    <row r="10">
      <c r="B10" s="93" t="inlineStr">
        <is>
          <t>Amortisation</t>
        </is>
      </c>
      <c r="C10" s="96" t="inlineStr">
        <is>
          <t>40 years</t>
        </is>
      </c>
      <c r="E10" s="93" t="inlineStr">
        <is>
          <t>Sub-total premia</t>
        </is>
      </c>
      <c r="F10" s="114" t="n">
        <v>257300</v>
      </c>
    </row>
    <row r="11">
      <c r="B11" s="93" t="inlineStr">
        <is>
          <t>Term</t>
        </is>
      </c>
      <c r="C11" s="96" t="inlineStr">
        <is>
          <t>5 years</t>
        </is>
      </c>
      <c r="E11" s="93" t="inlineStr">
        <is>
          <t>MLI Select discount (10%)</t>
        </is>
      </c>
      <c r="F11" s="114" t="n">
        <v>-25730</v>
      </c>
    </row>
    <row r="12">
      <c r="B12" s="93" t="inlineStr">
        <is>
          <t>Annual debt service</t>
        </is>
      </c>
      <c r="C12" s="126" t="n">
        <v>164478</v>
      </c>
      <c r="E12" s="116" t="inlineStr">
        <is>
          <t>Total CMHC fees</t>
        </is>
      </c>
      <c r="F12" s="118" t="n">
        <v>232770</v>
      </c>
    </row>
    <row r="13">
      <c r="B13" s="93" t="inlineStr">
        <is>
          <t>Cash flow after debt service</t>
        </is>
      </c>
      <c r="C13" s="126" t="n">
        <v>46657</v>
      </c>
      <c r="E13" s="116" t="inlineStr">
        <is>
          <t>Gross CMHC loan (incl. fees)</t>
        </is>
      </c>
      <c r="F13" s="118" t="n">
        <v>3552770</v>
      </c>
    </row>
    <row r="14">
      <c r="B14" s="93" t="inlineStr">
        <is>
          <t>Debt-service coverage ratio</t>
        </is>
      </c>
      <c r="C14" s="128" t="n">
        <v>1.28</v>
      </c>
    </row>
    <row r="15">
      <c r="B15" s="93" t="inlineStr">
        <is>
          <t>Debt yield</t>
        </is>
      </c>
      <c r="C15" s="125" t="n">
        <v>0.0636</v>
      </c>
    </row>
    <row r="16">
      <c r="B16" s="93" t="inlineStr">
        <is>
          <t>Loan per net sq ft</t>
        </is>
      </c>
      <c r="C16" s="129" t="n">
        <v>527.49</v>
      </c>
    </row>
    <row r="17">
      <c r="B17" s="93" t="inlineStr">
        <is>
          <t>Loan per suite</t>
        </is>
      </c>
      <c r="C17" s="126" t="n">
        <v>553333</v>
      </c>
    </row>
    <row r="19" ht="22" customHeight="1" s="48">
      <c r="B19" s="94" t="inlineStr">
        <is>
          <t>CMHC COST &amp; VALUE SUMMARY</t>
        </is>
      </c>
      <c r="C19" s="95" t="n"/>
      <c r="D19" s="95" t="n"/>
      <c r="E19" s="95" t="n"/>
      <c r="F19" s="95" t="n"/>
    </row>
    <row r="20" ht="24" customHeight="1" s="48">
      <c r="B20" s="110" t="inlineStr">
        <is>
          <t>Metric</t>
        </is>
      </c>
      <c r="C20" s="111" t="inlineStr">
        <is>
          <t>Value</t>
        </is>
      </c>
      <c r="D20" s="111" t="inlineStr"/>
      <c r="E20" s="111" t="inlineStr">
        <is>
          <t>Metric</t>
        </is>
      </c>
      <c r="F20" s="111" t="inlineStr">
        <is>
          <t>Value</t>
        </is>
      </c>
    </row>
    <row r="21">
      <c r="B21" s="93" t="inlineStr">
        <is>
          <t>Land value</t>
        </is>
      </c>
      <c r="C21" s="114" t="n">
        <v>1070000</v>
      </c>
      <c r="E21" s="93" t="inlineStr">
        <is>
          <t>Net leasable area</t>
        </is>
      </c>
      <c r="F21" s="130" t="n">
        <v>6294</v>
      </c>
    </row>
    <row r="22">
      <c r="B22" s="93" t="inlineStr">
        <is>
          <t>Total hard cost</t>
        </is>
      </c>
      <c r="C22" s="114" t="n">
        <v>1643000</v>
      </c>
      <c r="E22" s="93" t="inlineStr">
        <is>
          <t>Average unit size</t>
        </is>
      </c>
      <c r="F22" s="130" t="n">
        <v>1049</v>
      </c>
    </row>
    <row r="23">
      <c r="B23" s="93" t="inlineStr">
        <is>
          <t>Total soft cost</t>
        </is>
      </c>
      <c r="C23" s="114" t="n">
        <v>537000</v>
      </c>
      <c r="E23" s="93" t="inlineStr">
        <is>
          <t>Number of units</t>
        </is>
      </c>
      <c r="F23" s="131" t="n">
        <v>6</v>
      </c>
    </row>
    <row r="24">
      <c r="B24" s="93" t="inlineStr">
        <is>
          <t>Total contingency</t>
        </is>
      </c>
      <c r="C24" s="114" t="n">
        <v>92890</v>
      </c>
      <c r="E24" s="93" t="inlineStr">
        <is>
          <t>Cost per net sq ft</t>
        </is>
      </c>
      <c r="F24" s="126" t="n">
        <v>556</v>
      </c>
    </row>
    <row r="25">
      <c r="B25" s="93" t="inlineStr">
        <is>
          <t>Total financing cost</t>
        </is>
      </c>
      <c r="C25" s="114" t="n">
        <v>155500</v>
      </c>
      <c r="E25" s="93" t="inlineStr">
        <is>
          <t>Cost per suite</t>
        </is>
      </c>
      <c r="F25" s="126" t="n">
        <v>583065</v>
      </c>
    </row>
    <row r="26">
      <c r="B26" s="116" t="inlineStr">
        <is>
          <t>Total construction cost</t>
        </is>
      </c>
      <c r="C26" s="118" t="n">
        <v>3498390</v>
      </c>
      <c r="E26" s="93" t="inlineStr">
        <is>
          <t>CMHC estimated value</t>
        </is>
      </c>
      <c r="F26" s="126" t="n">
        <v>4222688</v>
      </c>
    </row>
    <row r="28" ht="52" customHeight="1" s="48">
      <c r="B28" s="105" t="inlineStr">
        <is>
          <t>CMHC underwriting view. Note the two cost lenses: this MLI Select submission estimates total construction cost at $3,498,390, whereas the rebuilt development budget (Summary) restates total project cost at $3,999,347. The difference reflects scope and underwriting treatment (e.g. HST self-supply, financing and contingency are stated more fully in the rebuilt budget). Both are retained; see Sources &amp; Method.</t>
        </is>
      </c>
    </row>
    <row r="29"/>
    <row r="30"/>
  </sheetData>
  <mergeCells count="4">
    <mergeCell ref="E5:F5"/>
    <mergeCell ref="B5:C5"/>
    <mergeCell ref="B28:F30"/>
    <mergeCell ref="B19:F19"/>
  </mergeCells>
  <pageMargins left="0.4" right="0.4" top="0.5" bottom="0.5" header="0.5" footer="0.5"/>
  <pageSetup orientation="landscape" fitToHeight="0" fitToWidth="1"/>
</worksheet>
</file>

<file path=xl/worksheets/sheet13.xml><?xml version="1.0" encoding="utf-8"?>
<worksheet xmlns="http://schemas.openxmlformats.org/spreadsheetml/2006/main">
  <sheetPr>
    <outlinePr summaryBelow="1" summaryRight="1"/>
    <pageSetUpPr fitToPage="1"/>
  </sheetPr>
  <dimension ref="A1:G17"/>
  <sheetViews>
    <sheetView showGridLines="0" workbookViewId="0">
      <selection activeCell="A1" sqref="A1"/>
    </sheetView>
  </sheetViews>
  <sheetFormatPr baseColWidth="8" defaultColWidth="14.43" defaultRowHeight="15" customHeight="1"/>
  <cols>
    <col width="2" customWidth="1" style="48" min="1" max="1"/>
    <col width="9" customWidth="1" style="48" min="2" max="2"/>
    <col width="50" customWidth="1" style="48" min="3" max="3"/>
    <col width="12" customWidth="1" style="48" min="4" max="4"/>
    <col width="14" customWidth="1" style="48" min="5" max="6"/>
    <col width="50" customWidth="1" style="48" min="7" max="7"/>
    <col width="8.710000000000001" customWidth="1" style="48" min="8" max="26"/>
  </cols>
  <sheetData>
    <row r="1">
      <c r="A1" s="49" t="n"/>
      <c r="B1" s="49" t="n"/>
      <c r="C1" s="49" t="n"/>
      <c r="D1" s="49" t="n"/>
      <c r="E1" s="49" t="n"/>
      <c r="F1" s="49" t="n"/>
      <c r="G1" s="49" t="n"/>
    </row>
    <row r="2">
      <c r="A2" s="49" t="n"/>
      <c r="B2" s="58" t="inlineStr">
        <is>
          <t>Risk Register &amp; Sensitivity</t>
        </is>
      </c>
    </row>
    <row r="3" ht="27.75" customHeight="1" s="48">
      <c r="A3" s="49" t="n"/>
      <c r="B3" s="80" t="inlineStr">
        <is>
          <t>Risk ID</t>
        </is>
      </c>
      <c r="C3" s="80" t="inlineStr">
        <is>
          <t>Description</t>
        </is>
      </c>
      <c r="D3" s="80" t="inlineStr">
        <is>
          <t>Likelihood</t>
        </is>
      </c>
      <c r="E3" s="80" t="inlineStr">
        <is>
          <t>Impact ($)</t>
        </is>
      </c>
      <c r="F3" s="80" t="inlineStr">
        <is>
          <t>Expected ($)</t>
        </is>
      </c>
      <c r="G3" s="80" t="inlineStr">
        <is>
          <t>Mitigation</t>
        </is>
      </c>
    </row>
    <row r="4" ht="36" customHeight="1" s="48">
      <c r="A4" s="49" t="n"/>
      <c r="B4" s="72" t="inlineStr">
        <is>
          <t>R-01</t>
        </is>
      </c>
      <c r="C4" s="66" t="inlineStr">
        <is>
          <t>Ottawa DC schedule re-tabled mid-build (Bill 23 unwind ongoing)</t>
        </is>
      </c>
      <c r="D4" s="85" t="n">
        <v>0.4</v>
      </c>
      <c r="E4" s="63" t="n">
        <v>80000</v>
      </c>
      <c r="F4" s="57">
        <f>D4*E4</f>
        <v/>
      </c>
      <c r="G4" s="66" t="inlineStr">
        <is>
          <t>Lock DC at building permit issuance; budget worst-case schedule.</t>
        </is>
      </c>
    </row>
    <row r="5" ht="36" customHeight="1" s="48">
      <c r="A5" s="49" t="n"/>
      <c r="B5" s="72" t="inlineStr">
        <is>
          <t>R-02</t>
        </is>
      </c>
      <c r="C5" s="66" t="inlineStr">
        <is>
          <t>MLI Select scoring shortfall reduces takeout LTV from 95% to 85%</t>
        </is>
      </c>
      <c r="D5" s="85" t="n">
        <v>0.25</v>
      </c>
      <c r="E5" s="63" t="n">
        <v>250000</v>
      </c>
      <c r="F5" s="57">
        <f>D5*E5</f>
        <v/>
      </c>
      <c r="G5" s="66" t="inlineStr">
        <is>
          <t>Engage CMHC pre-application; cushion equity reserves.</t>
        </is>
      </c>
    </row>
    <row r="6" ht="36" customHeight="1" s="48">
      <c r="A6" s="49" t="n"/>
      <c r="B6" s="72" t="inlineStr">
        <is>
          <t>R-03</t>
        </is>
      </c>
      <c r="C6" s="66" t="inlineStr">
        <is>
          <t>Excavation hits unsuitable soils (Leda clay risk in Ottawa)</t>
        </is>
      </c>
      <c r="D6" s="85" t="n">
        <v>0.2</v>
      </c>
      <c r="E6" s="63" t="n">
        <v>60000</v>
      </c>
      <c r="F6" s="57">
        <f>D6*E6</f>
        <v/>
      </c>
      <c r="G6" s="66" t="inlineStr">
        <is>
          <t>the geotechnical consultant geotechnical Phase 2; pile contingency in scope.</t>
        </is>
      </c>
    </row>
    <row r="7" ht="36" customHeight="1" s="48">
      <c r="A7" s="49" t="n"/>
      <c r="B7" s="72" t="inlineStr">
        <is>
          <t>R-04</t>
        </is>
      </c>
      <c r="C7" s="66" t="inlineStr">
        <is>
          <t>Construction labour escalation beyond 4%/yr (ICI Settlements)</t>
        </is>
      </c>
      <c r="D7" s="85" t="n">
        <v>0.35</v>
      </c>
      <c r="E7" s="63" t="n">
        <v>65000</v>
      </c>
      <c r="F7" s="57">
        <f>D7*E7</f>
        <v/>
      </c>
      <c r="G7" s="66" t="inlineStr">
        <is>
          <t>Lock framing labour via fixed-price subcontract.</t>
        </is>
      </c>
    </row>
    <row r="8" ht="36" customHeight="1" s="48">
      <c r="A8" s="49" t="n"/>
      <c r="B8" s="72" t="inlineStr">
        <is>
          <t>R-05</t>
        </is>
      </c>
      <c r="C8" s="66" t="inlineStr">
        <is>
          <t>OBC SB-12 / MLI Select envelope changes during permit review</t>
        </is>
      </c>
      <c r="D8" s="85" t="n">
        <v>0.25</v>
      </c>
      <c r="E8" s="63" t="n">
        <v>35000</v>
      </c>
      <c r="F8" s="57">
        <f>D8*E8</f>
        <v/>
      </c>
      <c r="G8" s="66" t="inlineStr">
        <is>
          <t>Architect maintains 3 H2K model variants (per Building B plan note).</t>
        </is>
      </c>
    </row>
    <row r="9" ht="36" customHeight="1" s="48">
      <c r="A9" s="49" t="n"/>
      <c r="B9" s="72" t="inlineStr">
        <is>
          <t>R-06</t>
        </is>
      </c>
      <c r="C9" s="66" t="inlineStr">
        <is>
          <t>Interest rate exceeds 7.25% modeled — BoC trajectory uncertain</t>
        </is>
      </c>
      <c r="D9" s="85" t="n">
        <v>0.3</v>
      </c>
      <c r="E9" s="63" t="n">
        <v>45000</v>
      </c>
      <c r="F9" s="57">
        <f>D9*E9</f>
        <v/>
      </c>
      <c r="G9" s="66" t="inlineStr">
        <is>
          <t>Negotiate rate lock at construction loan commitment.</t>
        </is>
      </c>
    </row>
    <row r="10" ht="36" customHeight="1" s="48">
      <c r="A10" s="49" t="n"/>
      <c r="B10" s="72" t="inlineStr">
        <is>
          <t>R-07</t>
        </is>
      </c>
      <c r="C10" s="66" t="inlineStr">
        <is>
          <t>Tarion enrollment required if any units sold rather than rented</t>
        </is>
      </c>
      <c r="D10" s="85" t="n">
        <v>0.2</v>
      </c>
      <c r="E10" s="63" t="n">
        <v>25000</v>
      </c>
      <c r="F10" s="57">
        <f>D10*E10</f>
        <v/>
      </c>
      <c r="G10" s="66" t="inlineStr">
        <is>
          <t>Confirm exit strategy before substantial completion.</t>
        </is>
      </c>
    </row>
    <row r="11" ht="36" customHeight="1" s="48">
      <c r="A11" s="49" t="n"/>
      <c r="B11" s="72" t="inlineStr">
        <is>
          <t>R-08</t>
        </is>
      </c>
      <c r="C11" s="66" t="inlineStr">
        <is>
          <t>Hazmat / Designated Substance Survey reveals asbestos in demo</t>
        </is>
      </c>
      <c r="D11" s="85" t="n">
        <v>0.25</v>
      </c>
      <c r="E11" s="63" t="n">
        <v>28000</v>
      </c>
      <c r="F11" s="57">
        <f>D11*E11</f>
        <v/>
      </c>
      <c r="G11" s="66" t="inlineStr">
        <is>
          <t>Pre-demo DSS (mandatory under O.Reg 278/05) + abatement allowance.</t>
        </is>
      </c>
    </row>
    <row r="12" ht="36" customHeight="1" s="48">
      <c r="A12" s="49" t="n"/>
      <c r="B12" s="72" t="inlineStr">
        <is>
          <t>R-09</t>
        </is>
      </c>
      <c r="C12" s="66" t="inlineStr">
        <is>
          <t>Adjacent property damage / underpinning required (infill risk)</t>
        </is>
      </c>
      <c r="D12" s="85" t="n">
        <v>0.15</v>
      </c>
      <c r="E12" s="63" t="n">
        <v>75000</v>
      </c>
      <c r="F12" s="57">
        <f>D12*E12</f>
        <v/>
      </c>
      <c r="G12" s="66" t="inlineStr">
        <is>
          <t>Builders' risk policy with party-wall extension; pre-construction survey.</t>
        </is>
      </c>
    </row>
    <row r="13" ht="36" customHeight="1" s="48">
      <c r="A13" s="49" t="n"/>
      <c r="B13" s="72" t="inlineStr">
        <is>
          <t>R-10</t>
        </is>
      </c>
      <c r="C13" s="66" t="inlineStr">
        <is>
          <t>PBRH ineligibility — two-triplex config disqualifies the federal/Ontario PBRH rebate (only standard NRRP applies)</t>
        </is>
      </c>
      <c r="D13" s="85" t="n">
        <v>0.6</v>
      </c>
      <c r="E13" s="63" t="n">
        <v>109200</v>
      </c>
      <c r="F13" s="57">
        <f>D13*E13</f>
        <v/>
      </c>
      <c r="G13" s="66" t="inlineStr">
        <is>
          <t>Engage tax counsel pre-occupancy on MURC classification (CRA Guide 19-3-9). Decision worth $109,200 — moves net HST from $0 (Scenario B) to $109,200 (Scenario A).</t>
        </is>
      </c>
    </row>
    <row r="14" ht="36" customHeight="1" s="48">
      <c r="A14" s="49" t="n"/>
      <c r="B14" s="72" t="inlineStr">
        <is>
          <t>R-11</t>
        </is>
      </c>
      <c r="C14" s="66" t="inlineStr">
        <is>
          <t>FMV at occupancy exceeds $450K → federal NRRP fully phases out (Scenario A only)</t>
        </is>
      </c>
      <c r="D14" s="85" t="n">
        <v>0.35</v>
      </c>
      <c r="E14" s="63" t="n">
        <v>37800</v>
      </c>
      <c r="F14" s="57">
        <f>D14*E14</f>
        <v/>
      </c>
      <c r="G14" s="66" t="inlineStr">
        <is>
          <t>Document FMV conservatively at substantial completion; appraisal review.</t>
        </is>
      </c>
    </row>
    <row r="15">
      <c r="A15" s="49" t="n"/>
      <c r="B15" s="55" t="inlineStr">
        <is>
          <t>EXPECTED-VALUE RISK BUDGET</t>
        </is>
      </c>
      <c r="C15" s="49" t="n"/>
      <c r="D15" s="49" t="n"/>
      <c r="E15" s="49" t="n"/>
      <c r="F15" s="67">
        <f>SUM(F4:F14)</f>
        <v/>
      </c>
      <c r="G15" s="49" t="n"/>
    </row>
    <row r="16">
      <c r="A16" s="49" t="n"/>
      <c r="B16" s="49" t="n"/>
      <c r="C16" s="49" t="n"/>
      <c r="D16" s="49" t="n"/>
      <c r="E16" s="49" t="n"/>
      <c r="F16" s="49" t="n"/>
      <c r="G16" s="49" t="n"/>
    </row>
    <row r="17" ht="15" customHeight="1" s="48">
      <c r="A17" s="49" t="n"/>
      <c r="B17" s="86" t="inlineStr">
        <is>
          <t>Coverage check: Owner reserve + Soft contingency vs Expected risk</t>
        </is>
      </c>
      <c r="F17" s="65">
        <f>Contingencies!D8+Contingencies!D9-F15</f>
        <v/>
      </c>
      <c r="G17" s="49" t="n"/>
    </row>
    <row r="21" ht="15.75" customHeight="1" s="48"/>
    <row r="22" ht="15.75" customHeight="1" s="48"/>
    <row r="23" ht="15.75" customHeight="1" s="48"/>
    <row r="24" ht="15.75" customHeight="1" s="48"/>
    <row r="25" ht="15.75" customHeight="1" s="48"/>
    <row r="26" ht="15.75" customHeight="1" s="48"/>
    <row r="27" ht="15.75" customHeight="1" s="48"/>
    <row r="28" ht="15.75" customHeight="1" s="48"/>
    <row r="29" ht="15.75" customHeight="1" s="48"/>
    <row r="30" ht="15.75" customHeight="1" s="48"/>
    <row r="31" ht="15.75" customHeight="1" s="48"/>
    <row r="32" ht="15.75" customHeight="1" s="48"/>
    <row r="33" ht="15.75" customHeight="1" s="48"/>
    <row r="34" ht="15.75" customHeight="1" s="48"/>
    <row r="35" ht="15.75" customHeight="1" s="48"/>
    <row r="36" ht="15.75" customHeight="1" s="48"/>
    <row r="37" ht="15.75" customHeight="1" s="48"/>
    <row r="38" ht="15.75" customHeight="1" s="48"/>
    <row r="39" ht="15.75" customHeight="1" s="48"/>
    <row r="40" ht="15.75" customHeight="1" s="48"/>
    <row r="41" ht="15.75" customHeight="1" s="48"/>
    <row r="42" ht="15.75" customHeight="1" s="48"/>
    <row r="43" ht="15.75" customHeight="1" s="48"/>
    <row r="44" ht="15.75" customHeight="1" s="48"/>
    <row r="45" ht="15.75" customHeight="1" s="48"/>
    <row r="46" ht="15.75" customHeight="1" s="48"/>
    <row r="47" ht="15.75" customHeight="1" s="48"/>
    <row r="48" ht="15.75" customHeight="1" s="48"/>
    <row r="49" ht="15.75" customHeight="1" s="48"/>
    <row r="50" ht="15.75" customHeight="1" s="48"/>
    <row r="51" ht="15.75" customHeight="1" s="48"/>
    <row r="52" ht="15.75" customHeight="1" s="48"/>
    <row r="53" ht="15.75" customHeight="1" s="48"/>
    <row r="54" ht="15.75" customHeight="1" s="48"/>
    <row r="55" ht="15.75" customHeight="1" s="48"/>
    <row r="56" ht="15.75" customHeight="1" s="48"/>
    <row r="57" ht="15.75" customHeight="1" s="48"/>
    <row r="58" ht="15.75" customHeight="1" s="48"/>
    <row r="59" ht="15.75" customHeight="1" s="48"/>
    <row r="60" ht="15.75" customHeight="1" s="48"/>
    <row r="61" ht="15.75" customHeight="1" s="48"/>
    <row r="62" ht="15.75" customHeight="1" s="48"/>
    <row r="63" ht="15.75" customHeight="1" s="48"/>
    <row r="64" ht="15.75" customHeight="1" s="48"/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2">
    <mergeCell ref="B2:G2"/>
    <mergeCell ref="B17:E17"/>
  </mergeCells>
  <pageMargins left="0.4" right="0.4" top="0.5" bottom="0.5" header="0" footer="0"/>
  <pageSetup orientation="landscape" paperSize="9" fitToHeight="0" fitToWidth="1"/>
  <legacyDrawing xmlns:r="http://schemas.openxmlformats.org/officeDocument/2006/relationships" r:id="anysvml"/>
</worksheet>
</file>

<file path=xl/worksheets/sheet14.xml><?xml version="1.0" encoding="utf-8"?>
<worksheet xmlns="http://schemas.openxmlformats.org/spreadsheetml/2006/main">
  <sheetPr>
    <outlinePr summaryBelow="1" summaryRight="1"/>
    <pageSetUpPr fitToPage="1"/>
  </sheetPr>
  <dimension ref="A1:C42"/>
  <sheetViews>
    <sheetView showGridLines="0" workbookViewId="0">
      <selection activeCell="A1" sqref="A1"/>
    </sheetView>
  </sheetViews>
  <sheetFormatPr baseColWidth="8" defaultColWidth="14.43" defaultRowHeight="15" customHeight="1"/>
  <cols>
    <col width="2" customWidth="1" style="48" min="1" max="1"/>
    <col width="22" customWidth="1" style="48" min="2" max="2"/>
    <col width="100" customWidth="1" style="48" min="3" max="3"/>
    <col width="8.710000000000001" customWidth="1" style="48" min="4" max="26"/>
  </cols>
  <sheetData>
    <row r="1">
      <c r="A1" s="49" t="n"/>
      <c r="B1" s="49" t="n"/>
      <c r="C1" s="49" t="n"/>
    </row>
    <row r="2" ht="21.75" customHeight="1" s="48">
      <c r="A2" s="49" t="n"/>
      <c r="B2" s="58" t="inlineStr">
        <is>
          <t>Sources &amp; Methodology</t>
        </is>
      </c>
    </row>
    <row r="3">
      <c r="A3" s="49" t="n"/>
      <c r="B3" s="49" t="n"/>
      <c r="C3" s="49" t="n"/>
    </row>
    <row r="4">
      <c r="A4" s="49" t="n"/>
      <c r="B4" s="59" t="inlineStr">
        <is>
          <t>Domain</t>
        </is>
      </c>
      <c r="C4" s="59" t="inlineStr">
        <is>
          <t>Citation</t>
        </is>
      </c>
    </row>
    <row r="5" ht="31.5" customHeight="1" s="48">
      <c r="A5" s="49" t="n"/>
      <c r="B5" s="82" t="inlineStr">
        <is>
          <t>Cost benchmarks</t>
        </is>
      </c>
      <c r="C5" s="87" t="inlineStr">
        <is>
          <t>Altus Group, Canadian Cost Guide 2025/2026 — Ottawa low-rise wood-frame multi-residential.</t>
        </is>
      </c>
    </row>
    <row r="6" ht="31.5" customHeight="1" s="48">
      <c r="A6" s="49" t="n"/>
      <c r="B6" s="60" t="inlineStr">
        <is>
          <t>Cost benchmarks</t>
        </is>
      </c>
      <c r="C6" s="66" t="inlineStr">
        <is>
          <t>BTY Group, Market Intelligence Q4-2025 — Ontario residential infill.</t>
        </is>
      </c>
    </row>
    <row r="7" ht="31.5" customHeight="1" s="48">
      <c r="A7" s="49" t="n"/>
      <c r="B7" s="82" t="inlineStr">
        <is>
          <t>Cost escalation</t>
        </is>
      </c>
      <c r="C7" s="87" t="inlineStr">
        <is>
          <t>StatCan Building Construction Price Index, Ottawa CMA 2024Q4 (table 18-10-0135-01).</t>
        </is>
      </c>
    </row>
    <row r="8" ht="31.5" customHeight="1" s="48">
      <c r="A8" s="49" t="n"/>
      <c r="B8" s="60" t="inlineStr">
        <is>
          <t>Labour escalation</t>
        </is>
      </c>
      <c r="C8" s="66" t="inlineStr">
        <is>
          <t>Ontario ICI Collective Agreements Settlement Bulletin 2025.</t>
        </is>
      </c>
    </row>
    <row r="9" ht="31.5" customHeight="1" s="48">
      <c r="A9" s="49" t="n"/>
      <c r="B9" s="82" t="inlineStr">
        <is>
          <t>Material indices</t>
        </is>
      </c>
      <c r="C9" s="87" t="inlineStr">
        <is>
          <t>Random Lengths Composite Index Q2-2026.</t>
        </is>
      </c>
    </row>
    <row r="10" ht="31.5" customHeight="1" s="48">
      <c r="A10" s="49" t="n"/>
      <c r="B10" s="60" t="inlineStr">
        <is>
          <t>Permit rates</t>
        </is>
      </c>
      <c r="C10" s="66" t="inlineStr">
        <is>
          <t>City of Ottawa By-law 2014-149 (Building Code Act).</t>
        </is>
      </c>
    </row>
    <row r="11" ht="31.5" customHeight="1" s="48">
      <c r="A11" s="49" t="n"/>
      <c r="B11" s="82" t="inlineStr">
        <is>
          <t>Development charges</t>
        </is>
      </c>
      <c r="C11" s="87" t="inlineStr">
        <is>
          <t>City of Ottawa Development Charges By-law (2024-179 as amended; April 1 2026 schedule, 3.6% BCPI-tied, avg -1% inside Greenbelt). User calibration: ~$50K total on this project reflecting ADU exemption + demolition credit.</t>
        </is>
      </c>
    </row>
    <row r="12" ht="31.5" customHeight="1" s="48">
      <c r="A12" s="49" t="n"/>
      <c r="B12" s="60" t="inlineStr">
        <is>
          <t>ADU exemption</t>
        </is>
      </c>
      <c r="C12" s="66" t="inlineStr">
        <is>
          <t>Development Charges Act 1997 s.2(3.2); Bill 23 More Homes Built Faster Act 2022.</t>
        </is>
      </c>
    </row>
    <row r="13" ht="31.5" customHeight="1" s="48">
      <c r="A13" s="49" t="n"/>
      <c r="B13" s="82" t="inlineStr">
        <is>
          <t>Parkland</t>
        </is>
      </c>
      <c r="C13" s="87" t="inlineStr">
        <is>
          <t>City of Ottawa Parkland Dedication By-law 2022-280; Planning Act R.S.O. 1990 c.P.13 s.42 as amended by Bill 23. ADUs exempt; 2 main dwellings × $20K = $40K.</t>
        </is>
      </c>
    </row>
    <row r="14" ht="31.5" customHeight="1" s="48">
      <c r="A14" s="49" t="n"/>
      <c r="B14" s="60" t="inlineStr">
        <is>
          <t>EDC</t>
        </is>
      </c>
      <c r="C14" s="66" t="inlineStr">
        <is>
          <t>Education Act R.S.O. 1990 c.E.2 s.257.54; OCDSB EDC By-law 2024. ADU exemption parallels DC Act.</t>
        </is>
      </c>
    </row>
    <row r="15" ht="31.5" customHeight="1" s="48">
      <c r="A15" s="49" t="n"/>
      <c r="B15" s="82" t="inlineStr">
        <is>
          <t>LTT</t>
        </is>
      </c>
      <c r="C15" s="87" t="inlineStr">
        <is>
          <t>Land Transfer Tax Act R.S.O. 1990 c.L.6 s.2(1).</t>
        </is>
      </c>
    </row>
    <row r="16" ht="31.5" customHeight="1" s="48">
      <c r="A16" s="49" t="n"/>
      <c r="B16" s="60" t="inlineStr">
        <is>
          <t>HST self-supply</t>
        </is>
      </c>
      <c r="C16" s="66" t="inlineStr">
        <is>
          <t>Excise Tax Act R.S.C. 1985 c.E-15 s.191(3); CRA Guide RC4231.</t>
        </is>
      </c>
    </row>
    <row r="17" ht="31.5" customHeight="1" s="48">
      <c r="A17" s="49" t="n"/>
      <c r="B17" s="82" t="inlineStr">
        <is>
          <t>NRRP rebate</t>
        </is>
      </c>
      <c r="C17" s="87" t="inlineStr">
        <is>
          <t>ETA s.256.2; CRA Guide RC4231. Federal 36% × 5%, $6,300/unit cap, phased $350K-$450K. Ontario 75% × 8%, $24,000/unit cap (Taxation Act 2007 s.103).</t>
        </is>
      </c>
    </row>
    <row r="18" ht="31.5" customHeight="1" s="48">
      <c r="A18" s="49" t="n"/>
      <c r="B18" s="60" t="inlineStr">
        <is>
          <t>PBRH rebate</t>
        </is>
      </c>
      <c r="C18" s="66" t="inlineStr">
        <is>
          <t>ETA s.256.2.1; CRA Guide 19-3-9. Federal 100% × 5%, no cap. Ontario 100% × 8%, no cap. EXCLUDED: condos, single-unit, duplexes, triplexes. Eligibility starts after Sept 13 2023; substantial completion before 2036.</t>
        </is>
      </c>
    </row>
    <row r="19" ht="31.5" customHeight="1" s="48">
      <c r="A19" s="49" t="n"/>
      <c r="B19" s="82" t="inlineStr">
        <is>
          <t>ITCs on construction inputs</t>
        </is>
      </c>
      <c r="C19" s="87" t="inlineStr">
        <is>
          <t>CRA: GST/HST and home construction. Registrants may claim ITCs on construction-period inputs tied to taxable self-supply event; cannot claim ITCs against post-self-supply exempt rental use.</t>
        </is>
      </c>
    </row>
    <row r="20" ht="31.5" customHeight="1" s="48">
      <c r="A20" s="49" t="n"/>
      <c r="B20" s="60" t="inlineStr">
        <is>
          <t>CMHC financing</t>
        </is>
      </c>
      <c r="C20" s="66" t="inlineStr">
        <is>
          <t>CMHC MLI Select Program Guide (Feb 2024 revision); CMHC Construction Loan Insurance Guidelines.</t>
        </is>
      </c>
    </row>
    <row r="21" ht="31.5" customHeight="1" s="48">
      <c r="A21" s="49" t="n"/>
      <c r="B21" s="82" t="inlineStr">
        <is>
          <t>Cost-engineering methodology</t>
        </is>
      </c>
      <c r="C21" s="87" t="inlineStr">
        <is>
          <t>AACE International Recommended Practice 18R-97 — Cost Estimate Classification System.</t>
        </is>
      </c>
    </row>
    <row r="22" ht="31.5" customHeight="1" s="48">
      <c r="A22" s="49" t="n"/>
      <c r="B22" s="60" t="inlineStr">
        <is>
          <t>Risk methodology</t>
        </is>
      </c>
      <c r="C22" s="66" t="inlineStr">
        <is>
          <t>PMI Construction Extension to the PMBOK Guide, 7th edition, 2022.</t>
        </is>
      </c>
    </row>
    <row r="23" ht="31.5" customHeight="1" s="48">
      <c r="A23" s="49" t="n"/>
      <c r="B23" s="82" t="inlineStr">
        <is>
          <t>Building code</t>
        </is>
      </c>
      <c r="C23" s="87" t="inlineStr">
        <is>
          <t>Ontario Building Code O.Reg 332/12 (as amended); Supplementary Standard SB-12.</t>
        </is>
      </c>
    </row>
    <row r="24" ht="31.5" customHeight="1" s="48">
      <c r="A24" s="49" t="n"/>
      <c r="B24" s="60" t="inlineStr">
        <is>
          <t>Hazmat</t>
        </is>
      </c>
      <c r="C24" s="66" t="inlineStr">
        <is>
          <t>O.Reg 278/05 — Designated Substances in Demolition (OHSA).</t>
        </is>
      </c>
    </row>
    <row r="25" ht="31.5" customHeight="1" s="48">
      <c r="A25" s="49" t="n"/>
      <c r="B25" s="82" t="inlineStr">
        <is>
          <t>Tree protection</t>
        </is>
      </c>
      <c r="C25" s="87" t="inlineStr">
        <is>
          <t>City of Ottawa By-law 2020-340 — Tree Protection.</t>
        </is>
      </c>
    </row>
    <row r="26" ht="31.5" customHeight="1" s="48">
      <c r="A26" s="49" t="n"/>
      <c r="B26" s="60" t="inlineStr">
        <is>
          <t>Source budget</t>
        </is>
      </c>
      <c r="C26" s="66" t="inlineStr">
        <is>
          <t>Developer source budget, May 2025 (provided).</t>
        </is>
      </c>
    </row>
    <row r="27" ht="31.5" customHeight="1" s="48">
      <c r="A27" s="49" t="n"/>
      <c r="B27" s="82" t="inlineStr">
        <is>
          <t>Comparable project</t>
        </is>
      </c>
      <c r="C27" s="87" t="inlineStr">
        <is>
          <t>Comparable Ottawa infill application — two additional dwelling units added to an existing multi-unit building; development charges effectively exempt under DC Act s.2(3.2).</t>
        </is>
      </c>
    </row>
    <row r="28" ht="31.5" customHeight="1" s="48">
      <c r="A28" s="49" t="n"/>
      <c r="B28" s="60" t="inlineStr">
        <is>
          <t>Monday board context</t>
        </is>
      </c>
      <c r="C28" s="66" t="inlineStr">
        <is>
          <t>Internal project-management board (reference only).</t>
        </is>
      </c>
    </row>
    <row r="29" ht="15.75" customHeight="1" s="48">
      <c r="A29" s="49" t="n"/>
      <c r="B29" s="49" t="n"/>
      <c r="C29" s="49" t="n"/>
    </row>
    <row r="30" ht="15.75" customHeight="1" s="48">
      <c r="A30" s="49" t="n"/>
      <c r="B30" s="49" t="n"/>
      <c r="C30" s="49" t="n"/>
    </row>
    <row r="31" ht="15.75" customHeight="1" s="48">
      <c r="A31" s="49" t="n"/>
      <c r="B31" s="55" t="inlineStr">
        <is>
          <t>Methodology notes (cumulative through v2.3)</t>
        </is>
      </c>
    </row>
    <row r="32" ht="49.5" customHeight="1" s="48">
      <c r="A32" s="49" t="n"/>
      <c r="B32" s="72" t="inlineStr">
        <is>
          <t>•</t>
        </is>
      </c>
      <c r="C32" s="66" t="inlineStr">
        <is>
          <t>Hard-cost line items restated against Ottawa Q2-2026 unit rates and benchmarked per-sqft GBA or per-unit.</t>
        </is>
      </c>
    </row>
    <row r="33" ht="49.5" customHeight="1" s="48">
      <c r="A33" s="49" t="n"/>
      <c r="B33" s="72" t="inlineStr">
        <is>
          <t>•</t>
        </is>
      </c>
      <c r="C33" s="66" t="inlineStr">
        <is>
          <t>Source budget double-counted Architectural Site Visits ($4,500 appears under both Professional Services and Drafting &amp; Architectural Fees); v2.x consolidates to a single $6,000 CA line consistent with OAA recommended scope.</t>
        </is>
      </c>
    </row>
    <row r="34" ht="49.5" customHeight="1" s="48">
      <c r="A34" s="49" t="n"/>
      <c r="B34" s="72" t="inlineStr">
        <is>
          <t>•</t>
        </is>
      </c>
      <c r="C34" s="66" t="inlineStr">
        <is>
          <t>Soft costs add five missed lines: plumbing engineering, plumbing/HVAC/zoning/demo permits, road occupancy, water-sewer connection, gas activation, hazmat survey.</t>
        </is>
      </c>
    </row>
    <row r="35" ht="49.5" customHeight="1" s="48">
      <c r="A35" s="49" t="n"/>
      <c r="B35" s="72" t="inlineStr">
        <is>
          <t>•</t>
        </is>
      </c>
      <c r="C35" s="66" t="inlineStr">
        <is>
          <t>Ontario LTT recalculated on statutory brackets — source $8,500 understates the $17,875 figure on a $1.07M lot (variance +$9,375).</t>
        </is>
      </c>
    </row>
    <row r="36" ht="49.5" customHeight="1" s="48">
      <c r="A36" s="49" t="n"/>
      <c r="B36" s="72" t="inlineStr">
        <is>
          <t>•</t>
        </is>
      </c>
      <c r="C36" s="66" t="inlineStr">
        <is>
          <t>v2.2 update: Ottawa DCs set to $50K flat reflecting Bill 23 ADU exemption (DC Act s.2(3.2)), demolition credit for existing dwelling, and Ottawa April 1 2026 schedule. CILP set per-main-dwelling ($20K) × 2 buildings = $40K because ADUs are statutorily exempt from parkland dedication. OCDSB EDC same dwelling-count basis = 2 × $1,373.</t>
        </is>
      </c>
    </row>
    <row r="37" ht="49.5" customHeight="1" s="48">
      <c r="A37" s="49" t="n"/>
      <c r="B37" s="72" t="inlineStr">
        <is>
          <t>•</t>
        </is>
      </c>
      <c r="C37" s="66" t="inlineStr">
        <is>
          <t>v2.3 update: HST model restructured into three scenarios. FMV per unit reset from $480K to $350K. Self-supply at FMV is the core liability per ETA s.191(3); rebate selection (NRRP vs PBRH) determines net cost. Scenario A standard NRRP = $109,200 net (defensible base). Scenario B PBRH = $0 net (only if project qualifies as a single MURC, not two disqualified triplexes per CRA Guide 19-3-9). Scenario C standard NRRP + unrecovered ITCs = $367,151 (punitive; only if no ITC claim).</t>
        </is>
      </c>
    </row>
    <row r="38" ht="49.5" customHeight="1" s="48">
      <c r="A38" s="49" t="n"/>
      <c r="B38" s="72" t="inlineStr">
        <is>
          <t>•</t>
        </is>
      </c>
      <c r="C38" s="66" t="inlineStr">
        <is>
          <t>Construction-input HST and self-supply HST are tracked separately. ITCs on inputs are presumed recovered in Scenarios A and B; not recovered in Scenario C.</t>
        </is>
      </c>
    </row>
    <row r="39" ht="49.5" customHeight="1" s="48">
      <c r="A39" s="49" t="n"/>
      <c r="B39" s="72" t="inlineStr">
        <is>
          <t>•</t>
        </is>
      </c>
      <c r="C39" s="66" t="inlineStr">
        <is>
          <t>Construction financing rebuilt bottom-up: Loan × Rate × (Months/12) × Average Utilization.</t>
        </is>
      </c>
    </row>
    <row r="40" ht="49.5" customHeight="1" s="48">
      <c r="A40" s="49" t="n"/>
      <c r="B40" s="72" t="inlineStr">
        <is>
          <t>•</t>
        </is>
      </c>
      <c r="C40" s="66" t="inlineStr">
        <is>
          <t>Contingency decomposed per AACE 18R-97: scope, escalation, soft, owner reserve.</t>
        </is>
      </c>
    </row>
    <row r="41" ht="49.5" customHeight="1" s="48">
      <c r="A41" s="49" t="n"/>
      <c r="B41" s="72" t="inlineStr">
        <is>
          <t>•</t>
        </is>
      </c>
      <c r="C41" s="66" t="inlineStr">
        <is>
          <t>Risk_Register quantifies expected-value exposure; R-10 reflects PBRH ineligibility risk worth ~$109,200; R-11 captures FMV creep above $450K phase-out cliff.</t>
        </is>
      </c>
    </row>
    <row r="42" ht="49.5" customHeight="1" s="48">
      <c r="A42" s="49" t="n"/>
      <c r="B42" s="72" t="inlineStr">
        <is>
          <t>•</t>
        </is>
      </c>
      <c r="C42" s="66" t="inlineStr">
        <is>
          <t>Stabilization takeout fees in the source ($27,768.62 with offsetting -$27,768.62) net to zero and are removed.</t>
        </is>
      </c>
    </row>
    <row r="43" ht="15.75" customHeight="1" s="48"/>
    <row r="44" ht="15.75" customHeight="1" s="48"/>
    <row r="45" ht="15.75" customHeight="1" s="48"/>
    <row r="46" ht="15.75" customHeight="1" s="48"/>
    <row r="47" ht="15.75" customHeight="1" s="48"/>
    <row r="48" ht="15.75" customHeight="1" s="48"/>
    <row r="49" ht="15.75" customHeight="1" s="48"/>
    <row r="50" ht="15.75" customHeight="1" s="48"/>
    <row r="51" ht="15.75" customHeight="1" s="48"/>
    <row r="52" ht="15.75" customHeight="1" s="48"/>
    <row r="53" ht="15.75" customHeight="1" s="48"/>
    <row r="54" ht="15.75" customHeight="1" s="48"/>
    <row r="55" ht="15.75" customHeight="1" s="48"/>
    <row r="56" ht="15.75" customHeight="1" s="48"/>
    <row r="57" ht="15.75" customHeight="1" s="48"/>
    <row r="58" ht="15.75" customHeight="1" s="48"/>
    <row r="59" ht="15.75" customHeight="1" s="48"/>
    <row r="60" ht="15.75" customHeight="1" s="48"/>
    <row r="61" ht="15.75" customHeight="1" s="48"/>
    <row r="62" ht="15.75" customHeight="1" s="48"/>
    <row r="63" ht="15.75" customHeight="1" s="48"/>
    <row r="64" ht="15.75" customHeight="1" s="48"/>
    <row r="65" ht="15.75" customHeight="1" s="48"/>
    <row r="66" ht="15.75" customHeight="1" s="48"/>
    <row r="67" ht="15.75" customHeight="1" s="48"/>
    <row r="68" ht="15.75" customHeight="1" s="48"/>
    <row r="69" ht="15.75" customHeight="1" s="48"/>
    <row r="70" ht="15.75" customHeight="1" s="48"/>
    <row r="71" ht="15.75" customHeight="1" s="48"/>
    <row r="72" ht="15.75" customHeight="1" s="48"/>
    <row r="73" ht="15.75" customHeight="1" s="48"/>
    <row r="74" ht="15.75" customHeight="1" s="48"/>
    <row r="75" ht="15.75" customHeight="1" s="48"/>
    <row r="76" ht="15.75" customHeight="1" s="48"/>
    <row r="77" ht="15.75" customHeight="1" s="48"/>
    <row r="78" ht="15.75" customHeight="1" s="48"/>
    <row r="79" ht="15.75" customHeight="1" s="48"/>
    <row r="80" ht="15.75" customHeight="1" s="48"/>
    <row r="81" ht="15.75" customHeight="1" s="48"/>
    <row r="82" ht="15.75" customHeight="1" s="48"/>
    <row r="83" ht="15.75" customHeight="1" s="48"/>
    <row r="84" ht="15.75" customHeight="1" s="48"/>
    <row r="85" ht="15.75" customHeight="1" s="48"/>
    <row r="86" ht="15.75" customHeight="1" s="48"/>
    <row r="87" ht="15.75" customHeight="1" s="48"/>
    <row r="88" ht="15.75" customHeight="1" s="48"/>
    <row r="89" ht="15.75" customHeight="1" s="48"/>
    <row r="90" ht="15.75" customHeight="1" s="48"/>
    <row r="91" ht="15.75" customHeight="1" s="48"/>
    <row r="92" ht="15.75" customHeight="1" s="48"/>
    <row r="93" ht="15.75" customHeight="1" s="48"/>
    <row r="94" ht="15.75" customHeight="1" s="48"/>
    <row r="95" ht="15.75" customHeight="1" s="48"/>
    <row r="96" ht="15.75" customHeight="1" s="48"/>
    <row r="97" ht="15.75" customHeight="1" s="48"/>
    <row r="98" ht="15.75" customHeight="1" s="48"/>
    <row r="99" ht="15.75" customHeight="1" s="48"/>
    <row r="100" ht="15.75" customHeight="1" s="48"/>
    <row r="101" ht="15.75" customHeight="1" s="48"/>
    <row r="102" ht="15.75" customHeight="1" s="48"/>
    <row r="103" ht="15.75" customHeight="1" s="48"/>
    <row r="104" ht="15.75" customHeight="1" s="48"/>
    <row r="105" ht="15.75" customHeight="1" s="48"/>
    <row r="106" ht="15.75" customHeight="1" s="48"/>
    <row r="107" ht="15.75" customHeight="1" s="48"/>
    <row r="108" ht="15.75" customHeight="1" s="48"/>
    <row r="109" ht="15.75" customHeight="1" s="48"/>
    <row r="110" ht="15.75" customHeight="1" s="48"/>
    <row r="111" ht="15.75" customHeight="1" s="48"/>
    <row r="112" ht="15.75" customHeight="1" s="48"/>
    <row r="113" ht="15.75" customHeight="1" s="48"/>
    <row r="114" ht="15.75" customHeight="1" s="48"/>
    <row r="115" ht="15.75" customHeight="1" s="48"/>
    <row r="116" ht="15.75" customHeight="1" s="48"/>
    <row r="117" ht="15.75" customHeight="1" s="48"/>
    <row r="118" ht="15.75" customHeight="1" s="48"/>
    <row r="119" ht="15.75" customHeight="1" s="48"/>
    <row r="120" ht="15.75" customHeight="1" s="48"/>
    <row r="121" ht="15.75" customHeight="1" s="48"/>
    <row r="122" ht="15.75" customHeight="1" s="48"/>
    <row r="123" ht="15.75" customHeight="1" s="48"/>
    <row r="124" ht="15.75" customHeight="1" s="48"/>
    <row r="125" ht="15.75" customHeight="1" s="48"/>
    <row r="126" ht="15.75" customHeight="1" s="48"/>
    <row r="127" ht="15.75" customHeight="1" s="48"/>
    <row r="128" ht="15.75" customHeight="1" s="48"/>
    <row r="129" ht="15.75" customHeight="1" s="48"/>
    <row r="130" ht="15.75" customHeight="1" s="48"/>
    <row r="131" ht="15.75" customHeight="1" s="48"/>
    <row r="132" ht="15.75" customHeight="1" s="48"/>
    <row r="133" ht="15.75" customHeight="1" s="48"/>
    <row r="134" ht="15.75" customHeight="1" s="48"/>
    <row r="135" ht="15.75" customHeight="1" s="48"/>
    <row r="136" ht="15.75" customHeight="1" s="48"/>
    <row r="137" ht="15.75" customHeight="1" s="48"/>
    <row r="138" ht="15.75" customHeight="1" s="48"/>
    <row r="139" ht="15.75" customHeight="1" s="48"/>
    <row r="140" ht="15.75" customHeight="1" s="48"/>
    <row r="141" ht="15.75" customHeight="1" s="48"/>
    <row r="142" ht="15.75" customHeight="1" s="48"/>
    <row r="143" ht="15.75" customHeight="1" s="48"/>
    <row r="144" ht="15.75" customHeight="1" s="48"/>
    <row r="145" ht="15.75" customHeight="1" s="48"/>
    <row r="146" ht="15.75" customHeight="1" s="48"/>
    <row r="147" ht="15.75" customHeight="1" s="48"/>
    <row r="148" ht="15.75" customHeight="1" s="48"/>
    <row r="149" ht="15.75" customHeight="1" s="48"/>
    <row r="150" ht="15.75" customHeight="1" s="48"/>
    <row r="151" ht="15.75" customHeight="1" s="48"/>
    <row r="152" ht="15.75" customHeight="1" s="48"/>
    <row r="153" ht="15.75" customHeight="1" s="48"/>
    <row r="154" ht="15.75" customHeight="1" s="48"/>
    <row r="155" ht="15.75" customHeight="1" s="48"/>
    <row r="156" ht="15.75" customHeight="1" s="48"/>
    <row r="157" ht="15.75" customHeight="1" s="48"/>
    <row r="158" ht="15.75" customHeight="1" s="48"/>
    <row r="159" ht="15.75" customHeight="1" s="48"/>
    <row r="160" ht="15.75" customHeight="1" s="48"/>
    <row r="161" ht="15.75" customHeight="1" s="48"/>
    <row r="162" ht="15.75" customHeight="1" s="48"/>
    <row r="163" ht="15.75" customHeight="1" s="48"/>
    <row r="164" ht="15.75" customHeight="1" s="48"/>
    <row r="165" ht="15.75" customHeight="1" s="48"/>
    <row r="166" ht="15.75" customHeight="1" s="48"/>
    <row r="167" ht="15.75" customHeight="1" s="48"/>
    <row r="168" ht="15.75" customHeight="1" s="48"/>
    <row r="169" ht="15.75" customHeight="1" s="48"/>
    <row r="170" ht="15.75" customHeight="1" s="48"/>
    <row r="171" ht="15.75" customHeight="1" s="48"/>
    <row r="172" ht="15.75" customHeight="1" s="48"/>
    <row r="173" ht="15.75" customHeight="1" s="48"/>
    <row r="174" ht="15.75" customHeight="1" s="48"/>
    <row r="175" ht="15.75" customHeight="1" s="48"/>
    <row r="176" ht="15.75" customHeight="1" s="48"/>
    <row r="177" ht="15.75" customHeight="1" s="48"/>
    <row r="178" ht="15.75" customHeight="1" s="48"/>
    <row r="179" ht="15.75" customHeight="1" s="48"/>
    <row r="180" ht="15.75" customHeight="1" s="48"/>
    <row r="181" ht="15.75" customHeight="1" s="48"/>
    <row r="182" ht="15.75" customHeight="1" s="48"/>
    <row r="183" ht="15.75" customHeight="1" s="48"/>
    <row r="184" ht="15.75" customHeight="1" s="48"/>
    <row r="185" ht="15.75" customHeight="1" s="48"/>
    <row r="186" ht="15.75" customHeight="1" s="48"/>
    <row r="187" ht="15.75" customHeight="1" s="48"/>
    <row r="188" ht="15.75" customHeight="1" s="48"/>
    <row r="189" ht="15.75" customHeight="1" s="48"/>
    <row r="190" ht="15.75" customHeight="1" s="48"/>
    <row r="191" ht="15.75" customHeight="1" s="48"/>
    <row r="192" ht="15.75" customHeight="1" s="48"/>
    <row r="193" ht="15.75" customHeight="1" s="48"/>
    <row r="194" ht="15.75" customHeight="1" s="48"/>
    <row r="195" ht="15.75" customHeight="1" s="48"/>
    <row r="196" ht="15.75" customHeight="1" s="48"/>
    <row r="197" ht="15.75" customHeight="1" s="48"/>
    <row r="198" ht="15.75" customHeight="1" s="48"/>
    <row r="199" ht="15.75" customHeight="1" s="48"/>
    <row r="200" ht="15.75" customHeight="1" s="48"/>
    <row r="201" ht="15.75" customHeight="1" s="48"/>
    <row r="202" ht="15.75" customHeight="1" s="48"/>
    <row r="203" ht="15.75" customHeight="1" s="48"/>
    <row r="204" ht="15.75" customHeight="1" s="48"/>
    <row r="205" ht="15.75" customHeight="1" s="48"/>
    <row r="206" ht="15.75" customHeight="1" s="48"/>
    <row r="207" ht="15.75" customHeight="1" s="48"/>
    <row r="208" ht="15.75" customHeight="1" s="48"/>
    <row r="209" ht="15.75" customHeight="1" s="48"/>
    <row r="210" ht="15.75" customHeight="1" s="48"/>
    <row r="211" ht="15.75" customHeight="1" s="48"/>
    <row r="212" ht="15.75" customHeight="1" s="48"/>
    <row r="213" ht="15.75" customHeight="1" s="48"/>
    <row r="214" ht="15.75" customHeight="1" s="48"/>
    <row r="215" ht="15.75" customHeight="1" s="48"/>
    <row r="216" ht="15.75" customHeight="1" s="48"/>
    <row r="217" ht="15.75" customHeight="1" s="48"/>
    <row r="218" ht="15.75" customHeight="1" s="48"/>
    <row r="219" ht="15.75" customHeight="1" s="48"/>
    <row r="220" ht="15.75" customHeight="1" s="48"/>
    <row r="221" ht="15.75" customHeight="1" s="48"/>
    <row r="222" ht="15.75" customHeight="1" s="48"/>
    <row r="223" ht="15.75" customHeight="1" s="48"/>
    <row r="224" ht="15.75" customHeight="1" s="48"/>
    <row r="225" ht="15.75" customHeight="1" s="48"/>
    <row r="226" ht="15.75" customHeight="1" s="48"/>
    <row r="227" ht="15.75" customHeight="1" s="48"/>
    <row r="228" ht="15.75" customHeight="1" s="48"/>
    <row r="229" ht="15.75" customHeight="1" s="48"/>
    <row r="230" ht="15.75" customHeight="1" s="48"/>
    <row r="231" ht="15.75" customHeight="1" s="48"/>
    <row r="232" ht="15.75" customHeight="1" s="48"/>
    <row r="233" ht="15.75" customHeight="1" s="48"/>
    <row r="234" ht="15.75" customHeight="1" s="48"/>
    <row r="235" ht="15.75" customHeight="1" s="48"/>
    <row r="236" ht="15.75" customHeight="1" s="48"/>
    <row r="237" ht="15.75" customHeight="1" s="48"/>
    <row r="238" ht="15.75" customHeight="1" s="48"/>
    <row r="239" ht="15.75" customHeight="1" s="48"/>
    <row r="240" ht="15.75" customHeight="1" s="48"/>
    <row r="241" ht="15.75" customHeight="1" s="48"/>
    <row r="242" ht="15.75" customHeight="1" s="48"/>
    <row r="243" ht="15.75" customHeight="1" s="48"/>
    <row r="244" ht="15.75" customHeight="1" s="48"/>
    <row r="245" ht="15.75" customHeight="1" s="48"/>
    <row r="246" ht="15.75" customHeight="1" s="48"/>
    <row r="247" ht="15.75" customHeight="1" s="48"/>
    <row r="248" ht="15.75" customHeight="1" s="48"/>
    <row r="249" ht="15.75" customHeight="1" s="48"/>
    <row r="250" ht="15.75" customHeight="1" s="48"/>
    <row r="251" ht="15.75" customHeight="1" s="48"/>
    <row r="252" ht="15.75" customHeight="1" s="48"/>
    <row r="253" ht="15.75" customHeight="1" s="48"/>
    <row r="254" ht="15.75" customHeight="1" s="48"/>
    <row r="255" ht="15.75" customHeight="1" s="48"/>
    <row r="256" ht="15.75" customHeight="1" s="48"/>
    <row r="257" ht="15.75" customHeight="1" s="48"/>
    <row r="258" ht="15.75" customHeight="1" s="48"/>
    <row r="259" ht="15.75" customHeight="1" s="48"/>
    <row r="260" ht="15.75" customHeight="1" s="48"/>
    <row r="261" ht="15.75" customHeight="1" s="48"/>
    <row r="262" ht="15.75" customHeight="1" s="48"/>
    <row r="263" ht="15.75" customHeight="1" s="48"/>
    <row r="264" ht="15.75" customHeight="1" s="48"/>
    <row r="265" ht="15.75" customHeight="1" s="48"/>
    <row r="266" ht="15.75" customHeight="1" s="48"/>
    <row r="267" ht="15.75" customHeight="1" s="48"/>
    <row r="268" ht="15.75" customHeight="1" s="48"/>
    <row r="269" ht="15.75" customHeight="1" s="48"/>
    <row r="270" ht="15.75" customHeight="1" s="48"/>
    <row r="271" ht="15.75" customHeight="1" s="48"/>
    <row r="272" ht="15.75" customHeight="1" s="48"/>
    <row r="273" ht="15.75" customHeight="1" s="48"/>
    <row r="274" ht="15.75" customHeight="1" s="48"/>
    <row r="275" ht="15.75" customHeight="1" s="48"/>
    <row r="276" ht="15.75" customHeight="1" s="48"/>
    <row r="277" ht="15.75" customHeight="1" s="48"/>
    <row r="278" ht="15.75" customHeight="1" s="48"/>
    <row r="279" ht="15.75" customHeight="1" s="48"/>
    <row r="280" ht="15.75" customHeight="1" s="48"/>
    <row r="281" ht="15.75" customHeight="1" s="48"/>
    <row r="282" ht="15.75" customHeight="1" s="48"/>
    <row r="283" ht="15.75" customHeight="1" s="48"/>
    <row r="284" ht="15.75" customHeight="1" s="48"/>
    <row r="285" ht="15.75" customHeight="1" s="48"/>
    <row r="286" ht="15.75" customHeight="1" s="48"/>
    <row r="287" ht="15.75" customHeight="1" s="48"/>
    <row r="288" ht="15.75" customHeight="1" s="48"/>
    <row r="289" ht="15.75" customHeight="1" s="48"/>
    <row r="290" ht="15.75" customHeight="1" s="48"/>
    <row r="291" ht="15.75" customHeight="1" s="48"/>
    <row r="292" ht="15.75" customHeight="1" s="48"/>
    <row r="293" ht="15.75" customHeight="1" s="48"/>
    <row r="294" ht="15.75" customHeight="1" s="48"/>
    <row r="295" ht="15.75" customHeight="1" s="48"/>
    <row r="296" ht="15.75" customHeight="1" s="48"/>
    <row r="297" ht="15.75" customHeight="1" s="48"/>
    <row r="298" ht="15.75" customHeight="1" s="48"/>
    <row r="299" ht="15.75" customHeight="1" s="48"/>
    <row r="300" ht="15.75" customHeight="1" s="48"/>
    <row r="301" ht="15.75" customHeight="1" s="48"/>
    <row r="302" ht="15.75" customHeight="1" s="48"/>
    <row r="303" ht="15.75" customHeight="1" s="48"/>
    <row r="304" ht="15.75" customHeight="1" s="48"/>
    <row r="305" ht="15.75" customHeight="1" s="48"/>
    <row r="306" ht="15.75" customHeight="1" s="48"/>
    <row r="307" ht="15.75" customHeight="1" s="48"/>
    <row r="308" ht="15.75" customHeight="1" s="48"/>
    <row r="309" ht="15.75" customHeight="1" s="48"/>
    <row r="310" ht="15.75" customHeight="1" s="48"/>
    <row r="311" ht="15.75" customHeight="1" s="48"/>
    <row r="312" ht="15.75" customHeight="1" s="48"/>
    <row r="313" ht="15.75" customHeight="1" s="48"/>
    <row r="314" ht="15.75" customHeight="1" s="48"/>
    <row r="315" ht="15.75" customHeight="1" s="48"/>
    <row r="316" ht="15.75" customHeight="1" s="48"/>
    <row r="317" ht="15.75" customHeight="1" s="48"/>
    <row r="318" ht="15.75" customHeight="1" s="48"/>
    <row r="319" ht="15.75" customHeight="1" s="48"/>
    <row r="320" ht="15.75" customHeight="1" s="48"/>
    <row r="321" ht="15.75" customHeight="1" s="48"/>
    <row r="322" ht="15.75" customHeight="1" s="48"/>
    <row r="323" ht="15.75" customHeight="1" s="48"/>
    <row r="324" ht="15.75" customHeight="1" s="48"/>
    <row r="325" ht="15.75" customHeight="1" s="48"/>
    <row r="326" ht="15.75" customHeight="1" s="48"/>
    <row r="327" ht="15.75" customHeight="1" s="48"/>
    <row r="328" ht="15.75" customHeight="1" s="48"/>
    <row r="329" ht="15.75" customHeight="1" s="48"/>
    <row r="330" ht="15.75" customHeight="1" s="48"/>
    <row r="331" ht="15.75" customHeight="1" s="48"/>
    <row r="332" ht="15.75" customHeight="1" s="48"/>
    <row r="333" ht="15.75" customHeight="1" s="48"/>
    <row r="334" ht="15.75" customHeight="1" s="48"/>
    <row r="335" ht="15.75" customHeight="1" s="48"/>
    <row r="336" ht="15.75" customHeight="1" s="48"/>
    <row r="337" ht="15.75" customHeight="1" s="48"/>
    <row r="338" ht="15.75" customHeight="1" s="48"/>
    <row r="339" ht="15.75" customHeight="1" s="48"/>
    <row r="340" ht="15.75" customHeight="1" s="48"/>
    <row r="341" ht="15.75" customHeight="1" s="48"/>
    <row r="342" ht="15.75" customHeight="1" s="48"/>
    <row r="343" ht="15.75" customHeight="1" s="48"/>
    <row r="344" ht="15.75" customHeight="1" s="48"/>
    <row r="345" ht="15.75" customHeight="1" s="48"/>
    <row r="346" ht="15.75" customHeight="1" s="48"/>
    <row r="347" ht="15.75" customHeight="1" s="48"/>
    <row r="348" ht="15.75" customHeight="1" s="48"/>
    <row r="349" ht="15.75" customHeight="1" s="48"/>
    <row r="350" ht="15.75" customHeight="1" s="48"/>
    <row r="351" ht="15.75" customHeight="1" s="48"/>
    <row r="352" ht="15.75" customHeight="1" s="48"/>
    <row r="353" ht="15.75" customHeight="1" s="48"/>
    <row r="354" ht="15.75" customHeight="1" s="48"/>
    <row r="355" ht="15.75" customHeight="1" s="48"/>
    <row r="356" ht="15.75" customHeight="1" s="48"/>
    <row r="357" ht="15.75" customHeight="1" s="48"/>
    <row r="358" ht="15.75" customHeight="1" s="48"/>
    <row r="359" ht="15.75" customHeight="1" s="48"/>
    <row r="360" ht="15.75" customHeight="1" s="48"/>
    <row r="361" ht="15.75" customHeight="1" s="48"/>
    <row r="362" ht="15.75" customHeight="1" s="48"/>
    <row r="363" ht="15.75" customHeight="1" s="48"/>
    <row r="364" ht="15.75" customHeight="1" s="48"/>
    <row r="365" ht="15.75" customHeight="1" s="48"/>
    <row r="366" ht="15.75" customHeight="1" s="48"/>
    <row r="367" ht="15.75" customHeight="1" s="48"/>
    <row r="368" ht="15.75" customHeight="1" s="48"/>
    <row r="369" ht="15.75" customHeight="1" s="48"/>
    <row r="370" ht="15.75" customHeight="1" s="48"/>
    <row r="371" ht="15.75" customHeight="1" s="48"/>
    <row r="372" ht="15.75" customHeight="1" s="48"/>
    <row r="373" ht="15.75" customHeight="1" s="48"/>
    <row r="374" ht="15.75" customHeight="1" s="48"/>
    <row r="375" ht="15.75" customHeight="1" s="48"/>
    <row r="376" ht="15.75" customHeight="1" s="48"/>
    <row r="377" ht="15.75" customHeight="1" s="48"/>
    <row r="378" ht="15.75" customHeight="1" s="48"/>
    <row r="379" ht="15.75" customHeight="1" s="48"/>
    <row r="380" ht="15.75" customHeight="1" s="48"/>
    <row r="381" ht="15.75" customHeight="1" s="48"/>
    <row r="382" ht="15.75" customHeight="1" s="48"/>
    <row r="383" ht="15.75" customHeight="1" s="48"/>
    <row r="384" ht="15.75" customHeight="1" s="48"/>
    <row r="385" ht="15.75" customHeight="1" s="48"/>
    <row r="386" ht="15.75" customHeight="1" s="48"/>
    <row r="387" ht="15.75" customHeight="1" s="48"/>
    <row r="388" ht="15.75" customHeight="1" s="48"/>
    <row r="389" ht="15.75" customHeight="1" s="48"/>
    <row r="390" ht="15.75" customHeight="1" s="48"/>
    <row r="391" ht="15.75" customHeight="1" s="48"/>
    <row r="392" ht="15.75" customHeight="1" s="48"/>
    <row r="393" ht="15.75" customHeight="1" s="48"/>
    <row r="394" ht="15.75" customHeight="1" s="48"/>
    <row r="395" ht="15.75" customHeight="1" s="48"/>
    <row r="396" ht="15.75" customHeight="1" s="48"/>
    <row r="397" ht="15.75" customHeight="1" s="48"/>
    <row r="398" ht="15.75" customHeight="1" s="48"/>
    <row r="399" ht="15.75" customHeight="1" s="48"/>
    <row r="400" ht="15.75" customHeight="1" s="48"/>
    <row r="401" ht="15.75" customHeight="1" s="48"/>
    <row r="402" ht="15.75" customHeight="1" s="48"/>
    <row r="403" ht="15.75" customHeight="1" s="48"/>
    <row r="404" ht="15.75" customHeight="1" s="48"/>
    <row r="405" ht="15.75" customHeight="1" s="48"/>
    <row r="406" ht="15.75" customHeight="1" s="48"/>
    <row r="407" ht="15.75" customHeight="1" s="48"/>
    <row r="408" ht="15.75" customHeight="1" s="48"/>
    <row r="409" ht="15.75" customHeight="1" s="48"/>
    <row r="410" ht="15.75" customHeight="1" s="48"/>
    <row r="411" ht="15.75" customHeight="1" s="48"/>
    <row r="412" ht="15.75" customHeight="1" s="48"/>
    <row r="413" ht="15.75" customHeight="1" s="48"/>
    <row r="414" ht="15.75" customHeight="1" s="48"/>
    <row r="415" ht="15.75" customHeight="1" s="48"/>
    <row r="416" ht="15.75" customHeight="1" s="48"/>
    <row r="417" ht="15.75" customHeight="1" s="48"/>
    <row r="418" ht="15.75" customHeight="1" s="48"/>
    <row r="419" ht="15.75" customHeight="1" s="48"/>
    <row r="420" ht="15.75" customHeight="1" s="48"/>
    <row r="421" ht="15.75" customHeight="1" s="48"/>
    <row r="422" ht="15.75" customHeight="1" s="48"/>
    <row r="423" ht="15.75" customHeight="1" s="48"/>
    <row r="424" ht="15.75" customHeight="1" s="48"/>
    <row r="425" ht="15.75" customHeight="1" s="48"/>
    <row r="426" ht="15.75" customHeight="1" s="48"/>
    <row r="427" ht="15.75" customHeight="1" s="48"/>
    <row r="428" ht="15.75" customHeight="1" s="48"/>
    <row r="429" ht="15.75" customHeight="1" s="48"/>
    <row r="430" ht="15.75" customHeight="1" s="48"/>
    <row r="431" ht="15.75" customHeight="1" s="48"/>
    <row r="432" ht="15.75" customHeight="1" s="48"/>
    <row r="433" ht="15.75" customHeight="1" s="48"/>
    <row r="434" ht="15.75" customHeight="1" s="48"/>
    <row r="435" ht="15.75" customHeight="1" s="48"/>
    <row r="436" ht="15.75" customHeight="1" s="48"/>
    <row r="437" ht="15.75" customHeight="1" s="48"/>
    <row r="438" ht="15.75" customHeight="1" s="48"/>
    <row r="439" ht="15.75" customHeight="1" s="48"/>
    <row r="440" ht="15.75" customHeight="1" s="48"/>
    <row r="441" ht="15.75" customHeight="1" s="48"/>
    <row r="442" ht="15.75" customHeight="1" s="48"/>
    <row r="443" ht="15.75" customHeight="1" s="48"/>
    <row r="444" ht="15.75" customHeight="1" s="48"/>
    <row r="445" ht="15.75" customHeight="1" s="48"/>
    <row r="446" ht="15.75" customHeight="1" s="48"/>
    <row r="447" ht="15.75" customHeight="1" s="48"/>
    <row r="448" ht="15.75" customHeight="1" s="48"/>
    <row r="449" ht="15.75" customHeight="1" s="48"/>
    <row r="450" ht="15.75" customHeight="1" s="48"/>
    <row r="451" ht="15.75" customHeight="1" s="48"/>
    <row r="452" ht="15.75" customHeight="1" s="48"/>
    <row r="453" ht="15.75" customHeight="1" s="48"/>
    <row r="454" ht="15.75" customHeight="1" s="48"/>
    <row r="455" ht="15.75" customHeight="1" s="48"/>
    <row r="456" ht="15.75" customHeight="1" s="48"/>
    <row r="457" ht="15.75" customHeight="1" s="48"/>
    <row r="458" ht="15.75" customHeight="1" s="48"/>
    <row r="459" ht="15.75" customHeight="1" s="48"/>
    <row r="460" ht="15.75" customHeight="1" s="48"/>
    <row r="461" ht="15.75" customHeight="1" s="48"/>
    <row r="462" ht="15.75" customHeight="1" s="48"/>
    <row r="463" ht="15.75" customHeight="1" s="48"/>
    <row r="464" ht="15.75" customHeight="1" s="48"/>
    <row r="465" ht="15.75" customHeight="1" s="48"/>
    <row r="466" ht="15.75" customHeight="1" s="48"/>
    <row r="467" ht="15.75" customHeight="1" s="48"/>
    <row r="468" ht="15.75" customHeight="1" s="48"/>
    <row r="469" ht="15.75" customHeight="1" s="48"/>
    <row r="470" ht="15.75" customHeight="1" s="48"/>
    <row r="471" ht="15.75" customHeight="1" s="48"/>
    <row r="472" ht="15.75" customHeight="1" s="48"/>
    <row r="473" ht="15.75" customHeight="1" s="48"/>
    <row r="474" ht="15.75" customHeight="1" s="48"/>
    <row r="475" ht="15.75" customHeight="1" s="48"/>
    <row r="476" ht="15.75" customHeight="1" s="48"/>
    <row r="477" ht="15.75" customHeight="1" s="48"/>
    <row r="478" ht="15.75" customHeight="1" s="48"/>
    <row r="479" ht="15.75" customHeight="1" s="48"/>
    <row r="480" ht="15.75" customHeight="1" s="48"/>
    <row r="481" ht="15.75" customHeight="1" s="48"/>
    <row r="482" ht="15.75" customHeight="1" s="48"/>
    <row r="483" ht="15.75" customHeight="1" s="48"/>
    <row r="484" ht="15.75" customHeight="1" s="48"/>
    <row r="485" ht="15.75" customHeight="1" s="48"/>
    <row r="486" ht="15.75" customHeight="1" s="48"/>
    <row r="487" ht="15.75" customHeight="1" s="48"/>
    <row r="488" ht="15.75" customHeight="1" s="48"/>
    <row r="489" ht="15.75" customHeight="1" s="48"/>
    <row r="490" ht="15.75" customHeight="1" s="48"/>
    <row r="491" ht="15.75" customHeight="1" s="48"/>
    <row r="492" ht="15.75" customHeight="1" s="48"/>
    <row r="493" ht="15.75" customHeight="1" s="48"/>
    <row r="494" ht="15.75" customHeight="1" s="48"/>
    <row r="495" ht="15.75" customHeight="1" s="48"/>
    <row r="496" ht="15.75" customHeight="1" s="48"/>
    <row r="497" ht="15.75" customHeight="1" s="48"/>
    <row r="498" ht="15.75" customHeight="1" s="48"/>
    <row r="499" ht="15.75" customHeight="1" s="48"/>
    <row r="500" ht="15.75" customHeight="1" s="48"/>
    <row r="501" ht="15.75" customHeight="1" s="48"/>
    <row r="502" ht="15.75" customHeight="1" s="48"/>
    <row r="503" ht="15.75" customHeight="1" s="48"/>
    <row r="504" ht="15.75" customHeight="1" s="48"/>
    <row r="505" ht="15.75" customHeight="1" s="48"/>
    <row r="506" ht="15.75" customHeight="1" s="48"/>
    <row r="507" ht="15.75" customHeight="1" s="48"/>
    <row r="508" ht="15.75" customHeight="1" s="48"/>
    <row r="509" ht="15.75" customHeight="1" s="48"/>
    <row r="510" ht="15.75" customHeight="1" s="48"/>
    <row r="511" ht="15.75" customHeight="1" s="48"/>
    <row r="512" ht="15.75" customHeight="1" s="48"/>
    <row r="513" ht="15.75" customHeight="1" s="48"/>
    <row r="514" ht="15.75" customHeight="1" s="48"/>
    <row r="515" ht="15.75" customHeight="1" s="48"/>
    <row r="516" ht="15.75" customHeight="1" s="48"/>
    <row r="517" ht="15.75" customHeight="1" s="48"/>
    <row r="518" ht="15.75" customHeight="1" s="48"/>
    <row r="519" ht="15.75" customHeight="1" s="48"/>
    <row r="520" ht="15.75" customHeight="1" s="48"/>
    <row r="521" ht="15.75" customHeight="1" s="48"/>
    <row r="522" ht="15.75" customHeight="1" s="48"/>
    <row r="523" ht="15.75" customHeight="1" s="48"/>
    <row r="524" ht="15.75" customHeight="1" s="48"/>
    <row r="525" ht="15.75" customHeight="1" s="48"/>
    <row r="526" ht="15.75" customHeight="1" s="48"/>
    <row r="527" ht="15.75" customHeight="1" s="48"/>
    <row r="528" ht="15.75" customHeight="1" s="48"/>
    <row r="529" ht="15.75" customHeight="1" s="48"/>
    <row r="530" ht="15.75" customHeight="1" s="48"/>
    <row r="531" ht="15.75" customHeight="1" s="48"/>
    <row r="532" ht="15.75" customHeight="1" s="48"/>
    <row r="533" ht="15.75" customHeight="1" s="48"/>
    <row r="534" ht="15.75" customHeight="1" s="48"/>
    <row r="535" ht="15.75" customHeight="1" s="48"/>
    <row r="536" ht="15.75" customHeight="1" s="48"/>
    <row r="537" ht="15.75" customHeight="1" s="48"/>
    <row r="538" ht="15.75" customHeight="1" s="48"/>
    <row r="539" ht="15.75" customHeight="1" s="48"/>
    <row r="540" ht="15.75" customHeight="1" s="48"/>
    <row r="541" ht="15.75" customHeight="1" s="48"/>
    <row r="542" ht="15.75" customHeight="1" s="48"/>
    <row r="543" ht="15.75" customHeight="1" s="48"/>
    <row r="544" ht="15.75" customHeight="1" s="48"/>
    <row r="545" ht="15.75" customHeight="1" s="48"/>
    <row r="546" ht="15.75" customHeight="1" s="48"/>
    <row r="547" ht="15.75" customHeight="1" s="48"/>
    <row r="548" ht="15.75" customHeight="1" s="48"/>
    <row r="549" ht="15.75" customHeight="1" s="48"/>
    <row r="550" ht="15.75" customHeight="1" s="48"/>
    <row r="551" ht="15.75" customHeight="1" s="48"/>
    <row r="552" ht="15.75" customHeight="1" s="48"/>
    <row r="553" ht="15.75" customHeight="1" s="48"/>
    <row r="554" ht="15.75" customHeight="1" s="48"/>
    <row r="555" ht="15.75" customHeight="1" s="48"/>
    <row r="556" ht="15.75" customHeight="1" s="48"/>
    <row r="557" ht="15.75" customHeight="1" s="48"/>
    <row r="558" ht="15.75" customHeight="1" s="48"/>
    <row r="559" ht="15.75" customHeight="1" s="48"/>
    <row r="560" ht="15.75" customHeight="1" s="48"/>
    <row r="561" ht="15.75" customHeight="1" s="48"/>
    <row r="562" ht="15.75" customHeight="1" s="48"/>
    <row r="563" ht="15.75" customHeight="1" s="48"/>
    <row r="564" ht="15.75" customHeight="1" s="48"/>
    <row r="565" ht="15.75" customHeight="1" s="48"/>
    <row r="566" ht="15.75" customHeight="1" s="48"/>
    <row r="567" ht="15.75" customHeight="1" s="48"/>
    <row r="568" ht="15.75" customHeight="1" s="48"/>
    <row r="569" ht="15.75" customHeight="1" s="48"/>
    <row r="570" ht="15.75" customHeight="1" s="48"/>
    <row r="571" ht="15.75" customHeight="1" s="48"/>
    <row r="572" ht="15.75" customHeight="1" s="48"/>
    <row r="573" ht="15.75" customHeight="1" s="48"/>
    <row r="574" ht="15.75" customHeight="1" s="48"/>
    <row r="575" ht="15.75" customHeight="1" s="48"/>
    <row r="576" ht="15.75" customHeight="1" s="48"/>
    <row r="577" ht="15.75" customHeight="1" s="48"/>
    <row r="578" ht="15.75" customHeight="1" s="48"/>
    <row r="579" ht="15.75" customHeight="1" s="48"/>
    <row r="580" ht="15.75" customHeight="1" s="48"/>
    <row r="581" ht="15.75" customHeight="1" s="48"/>
    <row r="582" ht="15.75" customHeight="1" s="48"/>
    <row r="583" ht="15.75" customHeight="1" s="48"/>
    <row r="584" ht="15.75" customHeight="1" s="48"/>
    <row r="585" ht="15.75" customHeight="1" s="48"/>
    <row r="586" ht="15.75" customHeight="1" s="48"/>
    <row r="587" ht="15.75" customHeight="1" s="48"/>
    <row r="588" ht="15.75" customHeight="1" s="48"/>
    <row r="589" ht="15.75" customHeight="1" s="48"/>
    <row r="590" ht="15.75" customHeight="1" s="48"/>
    <row r="591" ht="15.75" customHeight="1" s="48"/>
    <row r="592" ht="15.75" customHeight="1" s="48"/>
    <row r="593" ht="15.75" customHeight="1" s="48"/>
    <row r="594" ht="15.75" customHeight="1" s="48"/>
    <row r="595" ht="15.75" customHeight="1" s="48"/>
    <row r="596" ht="15.75" customHeight="1" s="48"/>
    <row r="597" ht="15.75" customHeight="1" s="48"/>
    <row r="598" ht="15.75" customHeight="1" s="48"/>
    <row r="599" ht="15.75" customHeight="1" s="48"/>
    <row r="600" ht="15.75" customHeight="1" s="48"/>
    <row r="601" ht="15.75" customHeight="1" s="48"/>
    <row r="602" ht="15.75" customHeight="1" s="48"/>
    <row r="603" ht="15.75" customHeight="1" s="48"/>
    <row r="604" ht="15.75" customHeight="1" s="48"/>
    <row r="605" ht="15.75" customHeight="1" s="48"/>
    <row r="606" ht="15.75" customHeight="1" s="48"/>
    <row r="607" ht="15.75" customHeight="1" s="48"/>
    <row r="608" ht="15.75" customHeight="1" s="48"/>
    <row r="609" ht="15.75" customHeight="1" s="48"/>
    <row r="610" ht="15.75" customHeight="1" s="48"/>
    <row r="611" ht="15.75" customHeight="1" s="48"/>
    <row r="612" ht="15.75" customHeight="1" s="48"/>
    <row r="613" ht="15.75" customHeight="1" s="48"/>
    <row r="614" ht="15.75" customHeight="1" s="48"/>
    <row r="615" ht="15.75" customHeight="1" s="48"/>
    <row r="616" ht="15.75" customHeight="1" s="48"/>
    <row r="617" ht="15.75" customHeight="1" s="48"/>
    <row r="618" ht="15.75" customHeight="1" s="48"/>
    <row r="619" ht="15.75" customHeight="1" s="48"/>
    <row r="620" ht="15.75" customHeight="1" s="48"/>
    <row r="621" ht="15.75" customHeight="1" s="48"/>
    <row r="622" ht="15.75" customHeight="1" s="48"/>
    <row r="623" ht="15.75" customHeight="1" s="48"/>
    <row r="624" ht="15.75" customHeight="1" s="48"/>
    <row r="625" ht="15.75" customHeight="1" s="48"/>
    <row r="626" ht="15.75" customHeight="1" s="48"/>
    <row r="627" ht="15.75" customHeight="1" s="48"/>
    <row r="628" ht="15.75" customHeight="1" s="48"/>
    <row r="629" ht="15.75" customHeight="1" s="48"/>
    <row r="630" ht="15.75" customHeight="1" s="48"/>
    <row r="631" ht="15.75" customHeight="1" s="48"/>
    <row r="632" ht="15.75" customHeight="1" s="48"/>
    <row r="633" ht="15.75" customHeight="1" s="48"/>
    <row r="634" ht="15.75" customHeight="1" s="48"/>
    <row r="635" ht="15.75" customHeight="1" s="48"/>
    <row r="636" ht="15.75" customHeight="1" s="48"/>
    <row r="637" ht="15.75" customHeight="1" s="48"/>
    <row r="638" ht="15.75" customHeight="1" s="48"/>
    <row r="639" ht="15.75" customHeight="1" s="48"/>
    <row r="640" ht="15.75" customHeight="1" s="48"/>
    <row r="641" ht="15.75" customHeight="1" s="48"/>
    <row r="642" ht="15.75" customHeight="1" s="48"/>
    <row r="643" ht="15.75" customHeight="1" s="48"/>
    <row r="644" ht="15.75" customHeight="1" s="48"/>
    <row r="645" ht="15.75" customHeight="1" s="48"/>
    <row r="646" ht="15.75" customHeight="1" s="48"/>
    <row r="647" ht="15.75" customHeight="1" s="48"/>
    <row r="648" ht="15.75" customHeight="1" s="48"/>
    <row r="649" ht="15.75" customHeight="1" s="48"/>
    <row r="650" ht="15.75" customHeight="1" s="48"/>
    <row r="651" ht="15.75" customHeight="1" s="48"/>
    <row r="652" ht="15.75" customHeight="1" s="48"/>
    <row r="653" ht="15.75" customHeight="1" s="48"/>
    <row r="654" ht="15.75" customHeight="1" s="48"/>
    <row r="655" ht="15.75" customHeight="1" s="48"/>
    <row r="656" ht="15.75" customHeight="1" s="48"/>
    <row r="657" ht="15.75" customHeight="1" s="48"/>
    <row r="658" ht="15.75" customHeight="1" s="48"/>
    <row r="659" ht="15.75" customHeight="1" s="48"/>
    <row r="660" ht="15.75" customHeight="1" s="48"/>
    <row r="661" ht="15.75" customHeight="1" s="48"/>
    <row r="662" ht="15.75" customHeight="1" s="48"/>
    <row r="663" ht="15.75" customHeight="1" s="48"/>
    <row r="664" ht="15.75" customHeight="1" s="48"/>
    <row r="665" ht="15.75" customHeight="1" s="48"/>
    <row r="666" ht="15.75" customHeight="1" s="48"/>
    <row r="667" ht="15.75" customHeight="1" s="48"/>
    <row r="668" ht="15.75" customHeight="1" s="48"/>
    <row r="669" ht="15.75" customHeight="1" s="48"/>
    <row r="670" ht="15.75" customHeight="1" s="48"/>
    <row r="671" ht="15.75" customHeight="1" s="48"/>
    <row r="672" ht="15.75" customHeight="1" s="48"/>
    <row r="673" ht="15.75" customHeight="1" s="48"/>
    <row r="674" ht="15.75" customHeight="1" s="48"/>
    <row r="675" ht="15.75" customHeight="1" s="48"/>
    <row r="676" ht="15.75" customHeight="1" s="48"/>
    <row r="677" ht="15.75" customHeight="1" s="48"/>
    <row r="678" ht="15.75" customHeight="1" s="48"/>
    <row r="679" ht="15.75" customHeight="1" s="48"/>
    <row r="680" ht="15.75" customHeight="1" s="48"/>
    <row r="681" ht="15.75" customHeight="1" s="48"/>
    <row r="682" ht="15.75" customHeight="1" s="48"/>
    <row r="683" ht="15.75" customHeight="1" s="48"/>
    <row r="684" ht="15.75" customHeight="1" s="48"/>
    <row r="685" ht="15.75" customHeight="1" s="48"/>
    <row r="686" ht="15.75" customHeight="1" s="48"/>
    <row r="687" ht="15.75" customHeight="1" s="48"/>
    <row r="688" ht="15.75" customHeight="1" s="48"/>
    <row r="689" ht="15.75" customHeight="1" s="48"/>
    <row r="690" ht="15.75" customHeight="1" s="48"/>
    <row r="691" ht="15.75" customHeight="1" s="48"/>
    <row r="692" ht="15.75" customHeight="1" s="48"/>
    <row r="693" ht="15.75" customHeight="1" s="48"/>
    <row r="694" ht="15.75" customHeight="1" s="48"/>
    <row r="695" ht="15.75" customHeight="1" s="48"/>
    <row r="696" ht="15.75" customHeight="1" s="48"/>
    <row r="697" ht="15.75" customHeight="1" s="48"/>
    <row r="698" ht="15.75" customHeight="1" s="48"/>
    <row r="699" ht="15.75" customHeight="1" s="48"/>
    <row r="700" ht="15.75" customHeight="1" s="48"/>
    <row r="701" ht="15.75" customHeight="1" s="48"/>
    <row r="702" ht="15.75" customHeight="1" s="48"/>
    <row r="703" ht="15.75" customHeight="1" s="48"/>
    <row r="704" ht="15.75" customHeight="1" s="48"/>
    <row r="705" ht="15.75" customHeight="1" s="48"/>
    <row r="706" ht="15.75" customHeight="1" s="48"/>
    <row r="707" ht="15.75" customHeight="1" s="48"/>
    <row r="708" ht="15.75" customHeight="1" s="48"/>
    <row r="709" ht="15.75" customHeight="1" s="48"/>
    <row r="710" ht="15.75" customHeight="1" s="48"/>
    <row r="711" ht="15.75" customHeight="1" s="48"/>
    <row r="712" ht="15.75" customHeight="1" s="48"/>
    <row r="713" ht="15.75" customHeight="1" s="48"/>
    <row r="714" ht="15.75" customHeight="1" s="48"/>
    <row r="715" ht="15.75" customHeight="1" s="48"/>
    <row r="716" ht="15.75" customHeight="1" s="48"/>
    <row r="717" ht="15.75" customHeight="1" s="48"/>
    <row r="718" ht="15.75" customHeight="1" s="48"/>
    <row r="719" ht="15.75" customHeight="1" s="48"/>
    <row r="720" ht="15.75" customHeight="1" s="48"/>
    <row r="721" ht="15.75" customHeight="1" s="48"/>
    <row r="722" ht="15.75" customHeight="1" s="48"/>
    <row r="723" ht="15.75" customHeight="1" s="48"/>
    <row r="724" ht="15.75" customHeight="1" s="48"/>
    <row r="725" ht="15.75" customHeight="1" s="48"/>
    <row r="726" ht="15.75" customHeight="1" s="48"/>
    <row r="727" ht="15.75" customHeight="1" s="48"/>
    <row r="728" ht="15.75" customHeight="1" s="48"/>
    <row r="729" ht="15.75" customHeight="1" s="48"/>
    <row r="730" ht="15.75" customHeight="1" s="48"/>
    <row r="731" ht="15.75" customHeight="1" s="48"/>
    <row r="732" ht="15.75" customHeight="1" s="48"/>
    <row r="733" ht="15.75" customHeight="1" s="48"/>
    <row r="734" ht="15.75" customHeight="1" s="48"/>
    <row r="735" ht="15.75" customHeight="1" s="48"/>
    <row r="736" ht="15.75" customHeight="1" s="48"/>
    <row r="737" ht="15.75" customHeight="1" s="48"/>
    <row r="738" ht="15.75" customHeight="1" s="48"/>
    <row r="739" ht="15.75" customHeight="1" s="48"/>
    <row r="740" ht="15.75" customHeight="1" s="48"/>
    <row r="741" ht="15.75" customHeight="1" s="48"/>
    <row r="742" ht="15.75" customHeight="1" s="48"/>
    <row r="743" ht="15.75" customHeight="1" s="48"/>
    <row r="744" ht="15.75" customHeight="1" s="48"/>
    <row r="745" ht="15.75" customHeight="1" s="48"/>
    <row r="746" ht="15.75" customHeight="1" s="48"/>
    <row r="747" ht="15.75" customHeight="1" s="48"/>
    <row r="748" ht="15.75" customHeight="1" s="48"/>
    <row r="749" ht="15.75" customHeight="1" s="48"/>
    <row r="750" ht="15.75" customHeight="1" s="48"/>
    <row r="751" ht="15.75" customHeight="1" s="48"/>
    <row r="752" ht="15.75" customHeight="1" s="48"/>
    <row r="753" ht="15.75" customHeight="1" s="48"/>
    <row r="754" ht="15.75" customHeight="1" s="48"/>
    <row r="755" ht="15.75" customHeight="1" s="48"/>
    <row r="756" ht="15.75" customHeight="1" s="48"/>
    <row r="757" ht="15.75" customHeight="1" s="48"/>
    <row r="758" ht="15.75" customHeight="1" s="48"/>
    <row r="759" ht="15.75" customHeight="1" s="48"/>
    <row r="760" ht="15.75" customHeight="1" s="48"/>
    <row r="761" ht="15.75" customHeight="1" s="48"/>
    <row r="762" ht="15.75" customHeight="1" s="48"/>
    <row r="763" ht="15.75" customHeight="1" s="48"/>
    <row r="764" ht="15.75" customHeight="1" s="48"/>
    <row r="765" ht="15.75" customHeight="1" s="48"/>
    <row r="766" ht="15.75" customHeight="1" s="48"/>
    <row r="767" ht="15.75" customHeight="1" s="48"/>
    <row r="768" ht="15.75" customHeight="1" s="48"/>
    <row r="769" ht="15.75" customHeight="1" s="48"/>
    <row r="770" ht="15.75" customHeight="1" s="48"/>
    <row r="771" ht="15.75" customHeight="1" s="48"/>
    <row r="772" ht="15.75" customHeight="1" s="48"/>
    <row r="773" ht="15.75" customHeight="1" s="48"/>
    <row r="774" ht="15.75" customHeight="1" s="48"/>
    <row r="775" ht="15.75" customHeight="1" s="48"/>
    <row r="776" ht="15.75" customHeight="1" s="48"/>
    <row r="777" ht="15.75" customHeight="1" s="48"/>
    <row r="778" ht="15.75" customHeight="1" s="48"/>
    <row r="779" ht="15.75" customHeight="1" s="48"/>
    <row r="780" ht="15.75" customHeight="1" s="48"/>
    <row r="781" ht="15.75" customHeight="1" s="48"/>
    <row r="782" ht="15.75" customHeight="1" s="48"/>
    <row r="783" ht="15.75" customHeight="1" s="48"/>
    <row r="784" ht="15.75" customHeight="1" s="48"/>
    <row r="785" ht="15.75" customHeight="1" s="48"/>
    <row r="786" ht="15.75" customHeight="1" s="48"/>
    <row r="787" ht="15.75" customHeight="1" s="48"/>
    <row r="788" ht="15.75" customHeight="1" s="48"/>
    <row r="789" ht="15.75" customHeight="1" s="48"/>
    <row r="790" ht="15.75" customHeight="1" s="48"/>
    <row r="791" ht="15.75" customHeight="1" s="48"/>
    <row r="792" ht="15.75" customHeight="1" s="48"/>
    <row r="793" ht="15.75" customHeight="1" s="48"/>
    <row r="794" ht="15.75" customHeight="1" s="48"/>
    <row r="795" ht="15.75" customHeight="1" s="48"/>
    <row r="796" ht="15.75" customHeight="1" s="48"/>
    <row r="797" ht="15.75" customHeight="1" s="48"/>
    <row r="798" ht="15.75" customHeight="1" s="48"/>
    <row r="799" ht="15.75" customHeight="1" s="48"/>
    <row r="800" ht="15.75" customHeight="1" s="48"/>
    <row r="801" ht="15.75" customHeight="1" s="48"/>
    <row r="802" ht="15.75" customHeight="1" s="48"/>
    <row r="803" ht="15.75" customHeight="1" s="48"/>
    <row r="804" ht="15.75" customHeight="1" s="48"/>
    <row r="805" ht="15.75" customHeight="1" s="48"/>
    <row r="806" ht="15.75" customHeight="1" s="48"/>
    <row r="807" ht="15.75" customHeight="1" s="48"/>
    <row r="808" ht="15.75" customHeight="1" s="48"/>
    <row r="809" ht="15.75" customHeight="1" s="48"/>
    <row r="810" ht="15.75" customHeight="1" s="48"/>
    <row r="811" ht="15.75" customHeight="1" s="48"/>
    <row r="812" ht="15.75" customHeight="1" s="48"/>
    <row r="813" ht="15.75" customHeight="1" s="48"/>
    <row r="814" ht="15.75" customHeight="1" s="48"/>
    <row r="815" ht="15.75" customHeight="1" s="48"/>
    <row r="816" ht="15.75" customHeight="1" s="48"/>
    <row r="817" ht="15.75" customHeight="1" s="48"/>
    <row r="818" ht="15.75" customHeight="1" s="48"/>
    <row r="819" ht="15.75" customHeight="1" s="48"/>
    <row r="820" ht="15.75" customHeight="1" s="48"/>
    <row r="821" ht="15.75" customHeight="1" s="48"/>
    <row r="822" ht="15.75" customHeight="1" s="48"/>
    <row r="823" ht="15.75" customHeight="1" s="48"/>
    <row r="824" ht="15.75" customHeight="1" s="48"/>
    <row r="825" ht="15.75" customHeight="1" s="48"/>
    <row r="826" ht="15.75" customHeight="1" s="48"/>
    <row r="827" ht="15.75" customHeight="1" s="48"/>
    <row r="828" ht="15.75" customHeight="1" s="48"/>
    <row r="829" ht="15.75" customHeight="1" s="48"/>
    <row r="830" ht="15.75" customHeight="1" s="48"/>
    <row r="831" ht="15.75" customHeight="1" s="48"/>
    <row r="832" ht="15.75" customHeight="1" s="48"/>
    <row r="833" ht="15.75" customHeight="1" s="48"/>
    <row r="834" ht="15.75" customHeight="1" s="48"/>
    <row r="835" ht="15.75" customHeight="1" s="48"/>
    <row r="836" ht="15.75" customHeight="1" s="48"/>
    <row r="837" ht="15.75" customHeight="1" s="48"/>
    <row r="838" ht="15.75" customHeight="1" s="48"/>
    <row r="839" ht="15.75" customHeight="1" s="48"/>
    <row r="840" ht="15.75" customHeight="1" s="48"/>
    <row r="841" ht="15.75" customHeight="1" s="48"/>
    <row r="842" ht="15.75" customHeight="1" s="48"/>
    <row r="843" ht="15.75" customHeight="1" s="48"/>
    <row r="844" ht="15.75" customHeight="1" s="48"/>
    <row r="845" ht="15.75" customHeight="1" s="48"/>
    <row r="846" ht="15.75" customHeight="1" s="48"/>
    <row r="847" ht="15.75" customHeight="1" s="48"/>
    <row r="848" ht="15.75" customHeight="1" s="48"/>
    <row r="849" ht="15.75" customHeight="1" s="48"/>
    <row r="850" ht="15.75" customHeight="1" s="48"/>
    <row r="851" ht="15.75" customHeight="1" s="48"/>
    <row r="852" ht="15.75" customHeight="1" s="48"/>
    <row r="853" ht="15.75" customHeight="1" s="48"/>
    <row r="854" ht="15.75" customHeight="1" s="48"/>
    <row r="855" ht="15.75" customHeight="1" s="48"/>
    <row r="856" ht="15.75" customHeight="1" s="48"/>
    <row r="857" ht="15.75" customHeight="1" s="48"/>
    <row r="858" ht="15.75" customHeight="1" s="48"/>
    <row r="859" ht="15.75" customHeight="1" s="48"/>
    <row r="860" ht="15.75" customHeight="1" s="48"/>
    <row r="861" ht="15.75" customHeight="1" s="48"/>
    <row r="862" ht="15.75" customHeight="1" s="48"/>
    <row r="863" ht="15.75" customHeight="1" s="48"/>
    <row r="864" ht="15.75" customHeight="1" s="48"/>
    <row r="865" ht="15.75" customHeight="1" s="48"/>
    <row r="866" ht="15.75" customHeight="1" s="48"/>
    <row r="867" ht="15.75" customHeight="1" s="48"/>
    <row r="868" ht="15.75" customHeight="1" s="48"/>
    <row r="869" ht="15.75" customHeight="1" s="48"/>
    <row r="870" ht="15.75" customHeight="1" s="48"/>
    <row r="871" ht="15.75" customHeight="1" s="48"/>
    <row r="872" ht="15.75" customHeight="1" s="48"/>
    <row r="873" ht="15.75" customHeight="1" s="48"/>
    <row r="874" ht="15.75" customHeight="1" s="48"/>
    <row r="875" ht="15.75" customHeight="1" s="48"/>
    <row r="876" ht="15.75" customHeight="1" s="48"/>
    <row r="877" ht="15.75" customHeight="1" s="48"/>
    <row r="878" ht="15.75" customHeight="1" s="48"/>
    <row r="879" ht="15.75" customHeight="1" s="48"/>
    <row r="880" ht="15.75" customHeight="1" s="48"/>
    <row r="881" ht="15.75" customHeight="1" s="48"/>
    <row r="882" ht="15.75" customHeight="1" s="48"/>
    <row r="883" ht="15.75" customHeight="1" s="48"/>
    <row r="884" ht="15.75" customHeight="1" s="48"/>
    <row r="885" ht="15.75" customHeight="1" s="48"/>
    <row r="886" ht="15.75" customHeight="1" s="48"/>
    <row r="887" ht="15.75" customHeight="1" s="48"/>
    <row r="888" ht="15.75" customHeight="1" s="48"/>
    <row r="889" ht="15.75" customHeight="1" s="48"/>
    <row r="890" ht="15.75" customHeight="1" s="48"/>
    <row r="891" ht="15.75" customHeight="1" s="48"/>
    <row r="892" ht="15.75" customHeight="1" s="48"/>
    <row r="893" ht="15.75" customHeight="1" s="48"/>
    <row r="894" ht="15.75" customHeight="1" s="48"/>
    <row r="895" ht="15.75" customHeight="1" s="48"/>
    <row r="896" ht="15.75" customHeight="1" s="48"/>
    <row r="897" ht="15.75" customHeight="1" s="48"/>
    <row r="898" ht="15.75" customHeight="1" s="48"/>
    <row r="899" ht="15.75" customHeight="1" s="48"/>
    <row r="900" ht="15.75" customHeight="1" s="48"/>
    <row r="901" ht="15.75" customHeight="1" s="48"/>
    <row r="902" ht="15.75" customHeight="1" s="48"/>
    <row r="903" ht="15.75" customHeight="1" s="48"/>
    <row r="904" ht="15.75" customHeight="1" s="48"/>
    <row r="905" ht="15.75" customHeight="1" s="48"/>
    <row r="906" ht="15.75" customHeight="1" s="48"/>
    <row r="907" ht="15.75" customHeight="1" s="48"/>
    <row r="908" ht="15.75" customHeight="1" s="48"/>
    <row r="909" ht="15.75" customHeight="1" s="48"/>
    <row r="910" ht="15.75" customHeight="1" s="48"/>
    <row r="911" ht="15.75" customHeight="1" s="48"/>
    <row r="912" ht="15.75" customHeight="1" s="48"/>
    <row r="913" ht="15.75" customHeight="1" s="48"/>
    <row r="914" ht="15.75" customHeight="1" s="48"/>
    <row r="915" ht="15.75" customHeight="1" s="48"/>
    <row r="916" ht="15.75" customHeight="1" s="48"/>
    <row r="917" ht="15.75" customHeight="1" s="48"/>
    <row r="918" ht="15.75" customHeight="1" s="48"/>
    <row r="919" ht="15.75" customHeight="1" s="48"/>
    <row r="920" ht="15.75" customHeight="1" s="48"/>
    <row r="921" ht="15.75" customHeight="1" s="48"/>
    <row r="922" ht="15.75" customHeight="1" s="48"/>
    <row r="923" ht="15.75" customHeight="1" s="48"/>
    <row r="924" ht="15.75" customHeight="1" s="48"/>
    <row r="925" ht="15.75" customHeight="1" s="48"/>
    <row r="926" ht="15.75" customHeight="1" s="48"/>
    <row r="927" ht="15.75" customHeight="1" s="48"/>
    <row r="928" ht="15.75" customHeight="1" s="48"/>
    <row r="929" ht="15.75" customHeight="1" s="48"/>
    <row r="930" ht="15.75" customHeight="1" s="48"/>
    <row r="931" ht="15.75" customHeight="1" s="48"/>
    <row r="932" ht="15.75" customHeight="1" s="48"/>
    <row r="933" ht="15.75" customHeight="1" s="48"/>
    <row r="934" ht="15.75" customHeight="1" s="48"/>
    <row r="935" ht="15.75" customHeight="1" s="48"/>
    <row r="936" ht="15.75" customHeight="1" s="48"/>
    <row r="937" ht="15.75" customHeight="1" s="48"/>
    <row r="938" ht="15.75" customHeight="1" s="48"/>
    <row r="939" ht="15.75" customHeight="1" s="48"/>
    <row r="940" ht="15.75" customHeight="1" s="48"/>
    <row r="941" ht="15.75" customHeight="1" s="48"/>
    <row r="942" ht="15.75" customHeight="1" s="48"/>
    <row r="943" ht="15.75" customHeight="1" s="48"/>
    <row r="944" ht="15.75" customHeight="1" s="48"/>
    <row r="945" ht="15.75" customHeight="1" s="48"/>
    <row r="946" ht="15.75" customHeight="1" s="48"/>
    <row r="947" ht="15.75" customHeight="1" s="48"/>
    <row r="948" ht="15.75" customHeight="1" s="48"/>
    <row r="949" ht="15.75" customHeight="1" s="48"/>
    <row r="950" ht="15.75" customHeight="1" s="48"/>
    <row r="951" ht="15.75" customHeight="1" s="48"/>
    <row r="952" ht="15.75" customHeight="1" s="48"/>
    <row r="953" ht="15.75" customHeight="1" s="48"/>
    <row r="954" ht="15.75" customHeight="1" s="48"/>
    <row r="955" ht="15.75" customHeight="1" s="48"/>
    <row r="956" ht="15.75" customHeight="1" s="48"/>
    <row r="957" ht="15.75" customHeight="1" s="48"/>
    <row r="958" ht="15.75" customHeight="1" s="48"/>
    <row r="959" ht="15.75" customHeight="1" s="48"/>
    <row r="960" ht="15.75" customHeight="1" s="48"/>
    <row r="961" ht="15.75" customHeight="1" s="48"/>
    <row r="962" ht="15.75" customHeight="1" s="48"/>
    <row r="963" ht="15.75" customHeight="1" s="48"/>
    <row r="964" ht="15.75" customHeight="1" s="48"/>
    <row r="965" ht="15.75" customHeight="1" s="48"/>
    <row r="966" ht="15.75" customHeight="1" s="48"/>
    <row r="967" ht="15.75" customHeight="1" s="48"/>
    <row r="968" ht="15.75" customHeight="1" s="48"/>
    <row r="969" ht="15.75" customHeight="1" s="48"/>
    <row r="970" ht="15.75" customHeight="1" s="48"/>
    <row r="971" ht="15.75" customHeight="1" s="48"/>
    <row r="972" ht="15.75" customHeight="1" s="48"/>
    <row r="973" ht="15.75" customHeight="1" s="48"/>
    <row r="974" ht="15.75" customHeight="1" s="48"/>
    <row r="975" ht="15.75" customHeight="1" s="48"/>
    <row r="976" ht="15.75" customHeight="1" s="48"/>
    <row r="977" ht="15.75" customHeight="1" s="48"/>
    <row r="978" ht="15.75" customHeight="1" s="48"/>
    <row r="979" ht="15.75" customHeight="1" s="48"/>
    <row r="980" ht="15.75" customHeight="1" s="48"/>
    <row r="981" ht="15.75" customHeight="1" s="48"/>
    <row r="982" ht="15.75" customHeight="1" s="48"/>
    <row r="983" ht="15.75" customHeight="1" s="48"/>
    <row r="984" ht="15.75" customHeight="1" s="48"/>
    <row r="985" ht="15.75" customHeight="1" s="48"/>
    <row r="986" ht="15.75" customHeight="1" s="48"/>
    <row r="987" ht="15.75" customHeight="1" s="48"/>
    <row r="988" ht="15.75" customHeight="1" s="48"/>
    <row r="989" ht="15.75" customHeight="1" s="48"/>
    <row r="990" ht="15.75" customHeight="1" s="48"/>
    <row r="991" ht="15.75" customHeight="1" s="48"/>
    <row r="992" ht="15.75" customHeight="1" s="48"/>
    <row r="993" ht="15.75" customHeight="1" s="48"/>
    <row r="994" ht="15.75" customHeight="1" s="48"/>
    <row r="995" ht="15.75" customHeight="1" s="48"/>
    <row r="996" ht="15.75" customHeight="1" s="48"/>
    <row r="997" ht="15.75" customHeight="1" s="48"/>
    <row r="998" ht="15.75" customHeight="1" s="48"/>
    <row r="999" ht="15.75" customHeight="1" s="48"/>
    <row r="1000" ht="15.75" customHeight="1" s="48"/>
  </sheetData>
  <mergeCells count="2">
    <mergeCell ref="B2:C2"/>
    <mergeCell ref="B31:C31"/>
  </mergeCells>
  <pageMargins left="0.4" right="0.4" top="0.5" bottom="0.5" header="0" footer="0"/>
  <pageSetup orientation="portrait" paperSize="9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2026-05-21T21:09:33Z</dcterms:created>
  <dcterms:modified xmlns:dcterms="http://purl.org/dc/terms/" xmlns:xsi="http://www.w3.org/2001/XMLSchema-instance" xsi:type="dcterms:W3CDTF">2026-05-21T21:11:41Z</dcterms:modified>
</cp:coreProperties>
</file>